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0490" windowHeight="7050"/>
  </bookViews>
  <sheets>
    <sheet name="Видатки" sheetId="1" r:id="rId1"/>
  </sheets>
  <definedNames>
    <definedName name="_xlnm.Print_Titles" localSheetId="0">Видатки!$4:$4</definedName>
    <definedName name="_xlnm.Print_Area" localSheetId="0">Видатки!$A$2:$M$143</definedName>
  </definedNames>
  <calcPr calcId="162913"/>
</workbook>
</file>

<file path=xl/calcChain.xml><?xml version="1.0" encoding="utf-8"?>
<calcChain xmlns="http://schemas.openxmlformats.org/spreadsheetml/2006/main">
  <c r="G89" i="1" l="1"/>
  <c r="F89" i="1"/>
  <c r="D89" i="1"/>
  <c r="G82" i="1"/>
  <c r="I82" i="1"/>
  <c r="D82" i="1"/>
  <c r="M92" i="1"/>
  <c r="M99" i="1"/>
  <c r="D65" i="1"/>
  <c r="G67" i="1"/>
  <c r="I65" i="1"/>
  <c r="G65" i="1"/>
  <c r="F65" i="1"/>
  <c r="O7" i="1"/>
  <c r="E6" i="1"/>
  <c r="H6" i="1"/>
  <c r="J6" i="1"/>
  <c r="L6" i="1"/>
  <c r="D57" i="1" l="1"/>
  <c r="D6" i="1" s="1"/>
  <c r="D70" i="1"/>
  <c r="D68" i="1"/>
  <c r="D69" i="1"/>
  <c r="O107" i="1" l="1"/>
  <c r="D64" i="1"/>
  <c r="F64" i="1"/>
  <c r="G64" i="1"/>
  <c r="I64" i="1"/>
  <c r="L131" i="1"/>
  <c r="D142" i="1"/>
  <c r="M111" i="1"/>
  <c r="M110" i="1"/>
  <c r="G101" i="1" l="1"/>
  <c r="F62" i="1"/>
  <c r="K62" i="1"/>
  <c r="I62" i="1"/>
  <c r="G62" i="1"/>
  <c r="D62" i="1"/>
  <c r="M146" i="1"/>
  <c r="M144" i="1"/>
  <c r="M145" i="1"/>
  <c r="D93" i="1"/>
  <c r="D100" i="1"/>
  <c r="F98" i="1"/>
  <c r="D80" i="1"/>
  <c r="D86" i="1"/>
  <c r="D85" i="1"/>
  <c r="D84" i="1"/>
  <c r="I90" i="1"/>
  <c r="F90" i="1"/>
  <c r="D90" i="1"/>
  <c r="I81" i="1"/>
  <c r="D81" i="1"/>
  <c r="I89" i="1"/>
  <c r="M77" i="1"/>
  <c r="D76" i="1"/>
  <c r="K64" i="1"/>
  <c r="I68" i="1"/>
  <c r="I66" i="1"/>
  <c r="I63" i="1"/>
  <c r="G75" i="1"/>
  <c r="G71" i="1"/>
  <c r="G68" i="1"/>
  <c r="G66" i="1"/>
  <c r="G63" i="1"/>
  <c r="F71" i="1"/>
  <c r="F68" i="1"/>
  <c r="F69" i="1"/>
  <c r="F66" i="1"/>
  <c r="F63" i="1"/>
  <c r="D75" i="1"/>
  <c r="D66" i="1"/>
  <c r="D63" i="1"/>
  <c r="E26" i="1" l="1"/>
  <c r="M33" i="1"/>
  <c r="J48" i="1"/>
  <c r="E48" i="1"/>
  <c r="E51" i="1"/>
  <c r="E43" i="1"/>
  <c r="E36" i="1"/>
  <c r="J39" i="1"/>
  <c r="E39" i="1"/>
  <c r="E46" i="1"/>
  <c r="J47" i="1"/>
  <c r="J38" i="1"/>
  <c r="E47" i="1"/>
  <c r="J24" i="1"/>
  <c r="J23" i="1"/>
  <c r="J28" i="1"/>
  <c r="J26" i="1"/>
  <c r="J31" i="1"/>
  <c r="E24" i="1"/>
  <c r="E23" i="1"/>
  <c r="E28" i="1"/>
  <c r="E31" i="1"/>
  <c r="L123" i="1" l="1"/>
  <c r="L122" i="1"/>
  <c r="L125" i="1"/>
  <c r="L124" i="1"/>
  <c r="M124" i="1" s="1"/>
  <c r="G130" i="1"/>
  <c r="F130" i="1"/>
  <c r="F141" i="1"/>
  <c r="L121" i="1" l="1"/>
  <c r="L13" i="1"/>
  <c r="L12" i="1" l="1"/>
  <c r="E118" i="1" l="1"/>
  <c r="F118" i="1"/>
  <c r="G118" i="1"/>
  <c r="H118" i="1"/>
  <c r="I118" i="1"/>
  <c r="J118" i="1"/>
  <c r="K118" i="1"/>
  <c r="L118" i="1"/>
  <c r="D118" i="1"/>
  <c r="E115" i="1"/>
  <c r="F115" i="1"/>
  <c r="G115" i="1"/>
  <c r="H115" i="1"/>
  <c r="J115" i="1"/>
  <c r="K115" i="1"/>
  <c r="L115" i="1"/>
  <c r="D115" i="1"/>
  <c r="M116" i="1"/>
  <c r="M117" i="1"/>
  <c r="M119" i="1"/>
  <c r="M120" i="1"/>
  <c r="E112" i="1"/>
  <c r="F112" i="1"/>
  <c r="G112" i="1"/>
  <c r="H112" i="1"/>
  <c r="I112" i="1"/>
  <c r="J112" i="1"/>
  <c r="K112" i="1"/>
  <c r="L112" i="1"/>
  <c r="D112" i="1"/>
  <c r="M113" i="1"/>
  <c r="M114" i="1"/>
  <c r="I115" i="1" l="1"/>
  <c r="M118" i="1"/>
  <c r="M115" i="1"/>
  <c r="M112" i="1"/>
  <c r="E121" i="1"/>
  <c r="F121" i="1"/>
  <c r="G121" i="1"/>
  <c r="H121" i="1"/>
  <c r="I121" i="1"/>
  <c r="J121" i="1"/>
  <c r="K121" i="1"/>
  <c r="D121" i="1"/>
  <c r="M122" i="1"/>
  <c r="M123" i="1"/>
  <c r="M125" i="1"/>
  <c r="M126" i="1"/>
  <c r="M95" i="1"/>
  <c r="M90" i="1"/>
  <c r="M91" i="1"/>
  <c r="M65" i="1"/>
  <c r="E57" i="1"/>
  <c r="H57" i="1"/>
  <c r="J57" i="1"/>
  <c r="L57" i="1"/>
  <c r="M74" i="1"/>
  <c r="M75" i="1"/>
  <c r="M98" i="1" l="1"/>
  <c r="M121" i="1"/>
  <c r="O121" i="1" s="1"/>
  <c r="M70" i="1"/>
  <c r="M47" i="1"/>
  <c r="M39" i="1"/>
  <c r="M40" i="1"/>
  <c r="M41" i="1"/>
  <c r="F18" i="1"/>
  <c r="G18" i="1"/>
  <c r="H18" i="1"/>
  <c r="I18" i="1"/>
  <c r="K18" i="1"/>
  <c r="L18" i="1"/>
  <c r="M56" i="1"/>
  <c r="M42" i="1"/>
  <c r="M25" i="1"/>
  <c r="M138" i="1"/>
  <c r="F129" i="1"/>
  <c r="L7" i="1" l="1"/>
  <c r="M103" i="1" l="1"/>
  <c r="M100" i="1"/>
  <c r="M88" i="1"/>
  <c r="M89" i="1"/>
  <c r="M94" i="1"/>
  <c r="M67" i="1"/>
  <c r="M68" i="1"/>
  <c r="M69" i="1"/>
  <c r="M73" i="1"/>
  <c r="M78" i="1"/>
  <c r="M80" i="1"/>
  <c r="M81" i="1"/>
  <c r="M71" i="1"/>
  <c r="M72" i="1"/>
  <c r="M79" i="1"/>
  <c r="M93" i="1"/>
  <c r="M48" i="1"/>
  <c r="M50" i="1"/>
  <c r="M24" i="1"/>
  <c r="M28" i="1"/>
  <c r="M29" i="1"/>
  <c r="M31" i="1"/>
  <c r="M32" i="1"/>
  <c r="M34" i="1"/>
  <c r="M35" i="1"/>
  <c r="M36" i="1"/>
  <c r="M38" i="1"/>
  <c r="M43" i="1"/>
  <c r="M44" i="1"/>
  <c r="M45" i="1"/>
  <c r="M46" i="1"/>
  <c r="M49" i="1"/>
  <c r="F57" i="1" l="1"/>
  <c r="M76" i="1"/>
  <c r="M66" i="1"/>
  <c r="M30" i="1"/>
  <c r="F6" i="1" l="1"/>
  <c r="E18" i="1"/>
  <c r="M26" i="1"/>
  <c r="M27" i="1"/>
  <c r="J18" i="1"/>
  <c r="M134" i="1"/>
  <c r="D129" i="1"/>
  <c r="L129" i="1"/>
  <c r="M10" i="1"/>
  <c r="M15" i="1"/>
  <c r="M143" i="1" l="1"/>
  <c r="E142" i="1"/>
  <c r="F142" i="1"/>
  <c r="G142" i="1"/>
  <c r="H142" i="1"/>
  <c r="I142" i="1"/>
  <c r="J142" i="1"/>
  <c r="K142" i="1"/>
  <c r="L142" i="1"/>
  <c r="K57" i="1"/>
  <c r="K6" i="1" s="1"/>
  <c r="M87" i="1"/>
  <c r="M96" i="1"/>
  <c r="M97" i="1"/>
  <c r="M86" i="1"/>
  <c r="M61" i="1"/>
  <c r="M62" i="1"/>
  <c r="M63" i="1"/>
  <c r="M64" i="1"/>
  <c r="M82" i="1"/>
  <c r="M83" i="1"/>
  <c r="M84" i="1"/>
  <c r="M85" i="1"/>
  <c r="M101" i="1"/>
  <c r="M107" i="1"/>
  <c r="M108" i="1"/>
  <c r="M109" i="1"/>
  <c r="M23" i="1"/>
  <c r="O78" i="1" l="1"/>
  <c r="Q78" i="1" s="1"/>
  <c r="O63" i="1"/>
  <c r="Q63" i="1" s="1"/>
  <c r="G57" i="1"/>
  <c r="I57" i="1"/>
  <c r="I6" i="1" s="1"/>
  <c r="M142" i="1"/>
  <c r="G6" i="1" l="1"/>
  <c r="M57" i="1"/>
  <c r="O57" i="1" s="1"/>
  <c r="M22" i="1"/>
  <c r="M58" i="1" l="1"/>
  <c r="I7" i="1" l="1"/>
  <c r="J7" i="1"/>
  <c r="K7" i="1"/>
  <c r="K140" i="1"/>
  <c r="K131" i="1"/>
  <c r="K129" i="1"/>
  <c r="K127" i="1"/>
  <c r="M104" i="1" l="1"/>
  <c r="M105" i="1"/>
  <c r="M52" i="1" l="1"/>
  <c r="E129" i="1" l="1"/>
  <c r="H129" i="1"/>
  <c r="J129" i="1"/>
  <c r="M51" i="1" l="1"/>
  <c r="I129" i="1" l="1"/>
  <c r="G129" i="1"/>
  <c r="M129" i="1" l="1"/>
  <c r="O130" i="1" s="1"/>
  <c r="M132" i="1" l="1"/>
  <c r="M141" i="1"/>
  <c r="L140" i="1"/>
  <c r="E140" i="1"/>
  <c r="F140" i="1"/>
  <c r="G140" i="1"/>
  <c r="H140" i="1"/>
  <c r="I140" i="1"/>
  <c r="J140" i="1"/>
  <c r="D140" i="1"/>
  <c r="I127" i="1"/>
  <c r="I131" i="1"/>
  <c r="J131" i="1"/>
  <c r="J127" i="1"/>
  <c r="M139" i="1"/>
  <c r="M140" i="1" l="1"/>
  <c r="M106" i="1"/>
  <c r="M20" i="1"/>
  <c r="M19" i="1"/>
  <c r="M130" i="1" l="1"/>
  <c r="M17" i="1"/>
  <c r="M128" i="1" l="1"/>
  <c r="M133" i="1"/>
  <c r="M135" i="1"/>
  <c r="M136" i="1"/>
  <c r="M137" i="1"/>
  <c r="M59" i="1"/>
  <c r="M60" i="1"/>
  <c r="M102" i="1"/>
  <c r="M21" i="1"/>
  <c r="M54" i="1"/>
  <c r="M9" i="1"/>
  <c r="M11" i="1"/>
  <c r="M12" i="1"/>
  <c r="M13" i="1"/>
  <c r="M14" i="1"/>
  <c r="M16" i="1"/>
  <c r="M8" i="1"/>
  <c r="E131" i="1"/>
  <c r="F131" i="1"/>
  <c r="G131" i="1"/>
  <c r="H131" i="1"/>
  <c r="D131" i="1"/>
  <c r="E127" i="1"/>
  <c r="F127" i="1"/>
  <c r="G127" i="1"/>
  <c r="H127" i="1"/>
  <c r="L127" i="1"/>
  <c r="D127" i="1"/>
  <c r="D18" i="1"/>
  <c r="M18" i="1" s="1"/>
  <c r="E7" i="1"/>
  <c r="F7" i="1"/>
  <c r="G7" i="1"/>
  <c r="H7" i="1"/>
  <c r="D7" i="1"/>
  <c r="O18" i="1" l="1"/>
  <c r="M7" i="1"/>
  <c r="M127" i="1"/>
  <c r="M131" i="1"/>
  <c r="M6" i="1" l="1"/>
  <c r="O6" i="1" s="1"/>
</calcChain>
</file>

<file path=xl/sharedStrings.xml><?xml version="1.0" encoding="utf-8"?>
<sst xmlns="http://schemas.openxmlformats.org/spreadsheetml/2006/main" count="173" uniqueCount="133">
  <si>
    <t/>
  </si>
  <si>
    <t>№ з/п</t>
  </si>
  <si>
    <t>Миколаївський старостат</t>
  </si>
  <si>
    <t xml:space="preserve">Северинівський старостат </t>
  </si>
  <si>
    <t xml:space="preserve">Постольненський старостат </t>
  </si>
  <si>
    <t>Кекинський старостат</t>
  </si>
  <si>
    <t>Разом</t>
  </si>
  <si>
    <t>КПК</t>
  </si>
  <si>
    <t>ВИДАТКИ</t>
  </si>
  <si>
    <t>Утримання апарату управління</t>
  </si>
  <si>
    <t>Дошкільна освіта</t>
  </si>
  <si>
    <t>Шкільна освіта</t>
  </si>
  <si>
    <t>Пільгове перевезення педпрацівників</t>
  </si>
  <si>
    <t>Фізкультурно-масові заходи</t>
  </si>
  <si>
    <t>ОСВІТА</t>
  </si>
  <si>
    <t>Загальні видатки</t>
  </si>
  <si>
    <t>1.</t>
  </si>
  <si>
    <t>послуги з обслуговування сайту</t>
  </si>
  <si>
    <t xml:space="preserve">обслуг. комп.техніки </t>
  </si>
  <si>
    <t>суборенда приміщення</t>
  </si>
  <si>
    <t xml:space="preserve"> Відшкодування за тепло </t>
  </si>
  <si>
    <t xml:space="preserve"> Відшкодування за водопостачання</t>
  </si>
  <si>
    <t xml:space="preserve"> Відшкодування за електроенергію </t>
  </si>
  <si>
    <t>Нарахування на заробітну плату</t>
  </si>
  <si>
    <t>Витрати на заробітну плату</t>
  </si>
  <si>
    <t>2.</t>
  </si>
  <si>
    <t>КДНЗ "Веселка"</t>
  </si>
  <si>
    <t>Северинівська ЗОШ</t>
  </si>
  <si>
    <t>Миколаївський НВК</t>
  </si>
  <si>
    <t>Лікарський НВК</t>
  </si>
  <si>
    <t>продукти харчування</t>
  </si>
  <si>
    <t>тех.обслуговування та пот.ремонт ел.обладнання</t>
  </si>
  <si>
    <t>телекомунікаційні послуги</t>
  </si>
  <si>
    <t>оплата електроенергії</t>
  </si>
  <si>
    <t>оплата за природній газ</t>
  </si>
  <si>
    <t>Спеціальний фонд</t>
  </si>
  <si>
    <t>3.</t>
  </si>
  <si>
    <t>Запчастини до шкільного автобуса</t>
  </si>
  <si>
    <t>Бензин та дизпаливо для шкільного автобуса</t>
  </si>
  <si>
    <t>Оперативне і тех. обслуговування та поточний ремонт електрообладнання</t>
  </si>
  <si>
    <t>4.</t>
  </si>
  <si>
    <t>5.</t>
  </si>
  <si>
    <t>6.</t>
  </si>
  <si>
    <t>8.</t>
  </si>
  <si>
    <t>Забезпечення діяльності інших закладів у сфері освіти</t>
  </si>
  <si>
    <t xml:space="preserve">Послуги з тех. обслуговування комп.техніки та програм. забезпечення </t>
  </si>
  <si>
    <t xml:space="preserve">Відшкодування за пільговий проїзд пед.працівників </t>
  </si>
  <si>
    <t>Спеціальний фонд (придбання)</t>
  </si>
  <si>
    <t>Послуги з надання пакетів оновлення КП Ispro</t>
  </si>
  <si>
    <t>Консультаційні послуги з питань проведення процедур закупівель</t>
  </si>
  <si>
    <t>Кровненський старостат</t>
  </si>
  <si>
    <t>Кровненська ЗОШ</t>
  </si>
  <si>
    <t>КДНЗ "Пролісок"</t>
  </si>
  <si>
    <t>Інші заходи у сфері соціального захисту і соціального забезпечення</t>
  </si>
  <si>
    <t>одноразова допомога дитині-сироті</t>
  </si>
  <si>
    <t>надання пакетів оновлення ПК"Курс"</t>
  </si>
  <si>
    <t>послуги по інструментальному контролю ТЗ</t>
  </si>
  <si>
    <t>адміністративний збір за реєстрацію змін до відомостей в ЄДР</t>
  </si>
  <si>
    <t>будівельні матеріали</t>
  </si>
  <si>
    <t>цілодобове спостереження та тех.обслуговування за пожежною сигналізацією</t>
  </si>
  <si>
    <t>страхування цивільно-правової відповідальності власників транспортних засобів</t>
  </si>
  <si>
    <t>Відшкодування за тех.обслуговування електропостачання</t>
  </si>
  <si>
    <t>паливні пелети з деревини</t>
  </si>
  <si>
    <t>Яструбинський старостат</t>
  </si>
  <si>
    <t>Яструбинський НВК</t>
  </si>
  <si>
    <t>тех.підтримка ПЗ</t>
  </si>
  <si>
    <t>послуги з викачки нечистот</t>
  </si>
  <si>
    <t>нагороди</t>
  </si>
  <si>
    <t>товари медичного призначення</t>
  </si>
  <si>
    <t>тех.обслуговування системи газопостачання</t>
  </si>
  <si>
    <t>послуги з дератизація та дезінсекції</t>
  </si>
  <si>
    <t>медичний огляд працівників</t>
  </si>
  <si>
    <t>Видатки на відрядження</t>
  </si>
  <si>
    <t>Медикаменти</t>
  </si>
  <si>
    <t>витратні матеріали до оргтехніки</t>
  </si>
  <si>
    <t xml:space="preserve">дератизація та дезінсекція </t>
  </si>
  <si>
    <t>поточний ремонт шкільного автобусу</t>
  </si>
  <si>
    <t>миючі засоби</t>
  </si>
  <si>
    <t>страхування водіїв</t>
  </si>
  <si>
    <t>Будівництво освітніх установ та закладів</t>
  </si>
  <si>
    <t>канцтовари</t>
  </si>
  <si>
    <t>10.</t>
  </si>
  <si>
    <t>11.</t>
  </si>
  <si>
    <t>шкільна документація</t>
  </si>
  <si>
    <t>тех.обслуговування вогнегасників</t>
  </si>
  <si>
    <t>тех.обслуговування котелень та топкових</t>
  </si>
  <si>
    <t>навчання персоналу</t>
  </si>
  <si>
    <t>вогнегасники</t>
  </si>
  <si>
    <t>шкільна форма</t>
  </si>
  <si>
    <t>оплата за дрова</t>
  </si>
  <si>
    <t>вікна, двері</t>
  </si>
  <si>
    <t>реєстрація користувачів в системі АІС</t>
  </si>
  <si>
    <t>новорічні подарунки</t>
  </si>
  <si>
    <t>обслуговування сайту</t>
  </si>
  <si>
    <t>мастильні засоби</t>
  </si>
  <si>
    <t>шини</t>
  </si>
  <si>
    <t>розпиловка дров</t>
  </si>
  <si>
    <t>Надання загальної середньої освіти закладами загальної середньої освіти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</si>
  <si>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</si>
  <si>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</si>
  <si>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12.</t>
  </si>
  <si>
    <t>13.</t>
  </si>
  <si>
    <t>14.</t>
  </si>
  <si>
    <t>обслуговування оргтехніки</t>
  </si>
  <si>
    <t>заходи місцевої програми розвитку спорту</t>
  </si>
  <si>
    <t>Надання позашкільної освіти закладами позашкільної освіти, заходи із позашкільної роботи з дітьми</t>
  </si>
  <si>
    <t>офісне приладдя (штампи)</t>
  </si>
  <si>
    <t>державна атрибутика</t>
  </si>
  <si>
    <t>засоби звязку</t>
  </si>
  <si>
    <t>бензин, мастило</t>
  </si>
  <si>
    <t>тех.обслуговування програмного забезпечення</t>
  </si>
  <si>
    <t>тех.обслуговування оргтехніки</t>
  </si>
  <si>
    <t>поточний ремонт котла</t>
  </si>
  <si>
    <t>поточний ремонт внутрішнього водопроводу</t>
  </si>
  <si>
    <t>поточний ремонт підвальних приміщень для облаштування найпростішого укриття</t>
  </si>
  <si>
    <t>вогнезахисне оброблення деревяних конструкцій</t>
  </si>
  <si>
    <t>встановлення системи блискавкозахисту</t>
  </si>
  <si>
    <t>встановлення та тех.облуговування охоронної сигналізації</t>
  </si>
  <si>
    <t>генератор</t>
  </si>
  <si>
    <t>компютерне обладнання</t>
  </si>
  <si>
    <t>поточний ремонт котельні, котла</t>
  </si>
  <si>
    <t xml:space="preserve">поточний ремонт вимощення </t>
  </si>
  <si>
    <t>поточний ремонт ганку запасного виходу</t>
  </si>
  <si>
    <t>поточний ремонт частини покрівлі</t>
  </si>
  <si>
    <t>тех.обслуговування внутрішніх мереж водопостачання</t>
  </si>
  <si>
    <t>виготовлення документації на проектно-вишукувальні роботи "Нове будівництво підвального приміщення"</t>
  </si>
  <si>
    <t>виготовлення проектно-кошторисної документації по "Капітальний ремонт частини підвальних приміщень з пристосуванням їх для використання як найпростішого укриття"</t>
  </si>
  <si>
    <t>Капітальний ремонт частини підвальних приміщень з пристосуванням їх для використання як найпростішого укриття</t>
  </si>
  <si>
    <t>технічний нагляд</t>
  </si>
  <si>
    <t xml:space="preserve">авторський нагляд </t>
  </si>
  <si>
    <t>виготовлення проектно-кошторисної документації по "Улаштуванню системи автоматичної пожежної сигналізації"</t>
  </si>
  <si>
    <t>Експертиза по "Улаштуванню системи автоматичної пожежної сигналізації"</t>
  </si>
  <si>
    <t xml:space="preserve">      Аналіз видатків за 12 місяців 2022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</si>
</sst>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/>
    <xf numFmtId="0" fontId="0" fillId="3" borderId="0" xfId="0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164" fontId="6" fillId="2" borderId="9" xfId="0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justify" vertical="center"/>
    </xf>
    <xf numFmtId="0" fontId="0" fillId="0" borderId="1" xfId="0" applyBorder="1"/>
    <xf numFmtId="0" fontId="7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vertical="center" wrapText="1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/>
    </xf>
    <xf numFmtId="4" fontId="5" fillId="0" borderId="24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164" fontId="12" fillId="3" borderId="5" xfId="0" applyNumberFormat="1" applyFont="1" applyFill="1" applyBorder="1" applyAlignment="1">
      <alignment horizontal="center" vertical="center"/>
    </xf>
    <xf numFmtId="164" fontId="0" fillId="0" borderId="0" xfId="0" applyNumberFormat="1" applyBorder="1"/>
    <xf numFmtId="164" fontId="15" fillId="0" borderId="0" xfId="0" applyNumberFormat="1" applyFont="1" applyBorder="1"/>
    <xf numFmtId="164" fontId="0" fillId="0" borderId="0" xfId="0" applyNumberFormat="1" applyFont="1" applyBorder="1"/>
    <xf numFmtId="165" fontId="0" fillId="0" borderId="0" xfId="0" applyNumberFormat="1" applyBorder="1"/>
    <xf numFmtId="4" fontId="5" fillId="0" borderId="4" xfId="0" applyNumberFormat="1" applyFont="1" applyBorder="1" applyAlignment="1">
      <alignment horizontal="center" vertical="center" wrapText="1"/>
    </xf>
    <xf numFmtId="164" fontId="18" fillId="3" borderId="5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4" fontId="7" fillId="3" borderId="3" xfId="0" applyNumberFormat="1" applyFont="1" applyFill="1" applyBorder="1" applyAlignment="1">
      <alignment horizontal="center" vertical="center"/>
    </xf>
    <xf numFmtId="4" fontId="16" fillId="3" borderId="3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4" fontId="17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/>
    <xf numFmtId="0" fontId="7" fillId="3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" fillId="0" borderId="1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46"/>
  <sheetViews>
    <sheetView tabSelected="1" zoomScaleNormal="100" workbookViewId="0">
      <selection activeCell="E8" sqref="E8"/>
    </sheetView>
  </sheetViews>
  <sheetFormatPr defaultRowHeight="15" x14ac:dyDescent="0.25"/>
  <cols>
    <col min="1" max="1" width="8" customWidth="1"/>
    <col min="2" max="2" width="9.28515625" customWidth="1"/>
    <col min="3" max="3" width="55.28515625" customWidth="1"/>
    <col min="4" max="4" width="14.140625" customWidth="1"/>
    <col min="5" max="6" width="13.85546875" customWidth="1"/>
    <col min="7" max="7" width="14.7109375" customWidth="1"/>
    <col min="8" max="8" width="11.7109375" customWidth="1"/>
    <col min="9" max="9" width="13.7109375" customWidth="1"/>
    <col min="10" max="10" width="12.7109375" customWidth="1"/>
    <col min="11" max="11" width="13.42578125" customWidth="1"/>
    <col min="12" max="12" width="13" customWidth="1"/>
    <col min="13" max="13" width="16.28515625" customWidth="1"/>
    <col min="14" max="14" width="9.85546875" customWidth="1"/>
    <col min="15" max="15" width="12.28515625" bestFit="1" customWidth="1"/>
    <col min="17" max="17" width="9.7109375" bestFit="1" customWidth="1"/>
  </cols>
  <sheetData>
    <row r="2" spans="1:15" ht="19.149999999999999" customHeight="1" x14ac:dyDescent="0.25">
      <c r="A2" s="58" t="s">
        <v>132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1"/>
    </row>
    <row r="3" spans="1:15" ht="12.6" customHeight="1" thickBot="1" x14ac:dyDescent="0.3">
      <c r="A3" s="59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1"/>
      <c r="N3" s="1"/>
    </row>
    <row r="4" spans="1:15" ht="32.450000000000003" customHeight="1" thickBot="1" x14ac:dyDescent="0.3">
      <c r="A4" s="67" t="s">
        <v>1</v>
      </c>
      <c r="B4" s="65" t="s">
        <v>7</v>
      </c>
      <c r="C4" s="63" t="s">
        <v>8</v>
      </c>
      <c r="D4" s="8" t="s">
        <v>2</v>
      </c>
      <c r="E4" s="69" t="s">
        <v>3</v>
      </c>
      <c r="F4" s="70"/>
      <c r="G4" s="9" t="s">
        <v>4</v>
      </c>
      <c r="H4" s="9" t="s">
        <v>5</v>
      </c>
      <c r="I4" s="24" t="s">
        <v>50</v>
      </c>
      <c r="J4" s="25"/>
      <c r="K4" s="33" t="s">
        <v>63</v>
      </c>
      <c r="L4" s="71" t="s">
        <v>15</v>
      </c>
      <c r="M4" s="56" t="s">
        <v>6</v>
      </c>
    </row>
    <row r="5" spans="1:15" ht="32.450000000000003" customHeight="1" thickBot="1" x14ac:dyDescent="0.3">
      <c r="A5" s="68"/>
      <c r="B5" s="66"/>
      <c r="C5" s="64"/>
      <c r="D5" s="8" t="s">
        <v>28</v>
      </c>
      <c r="E5" s="8" t="s">
        <v>26</v>
      </c>
      <c r="F5" s="8" t="s">
        <v>27</v>
      </c>
      <c r="G5" s="9" t="s">
        <v>29</v>
      </c>
      <c r="H5" s="9"/>
      <c r="I5" s="23" t="s">
        <v>51</v>
      </c>
      <c r="J5" s="23" t="s">
        <v>52</v>
      </c>
      <c r="K5" s="23" t="s">
        <v>64</v>
      </c>
      <c r="L5" s="72"/>
      <c r="M5" s="57"/>
    </row>
    <row r="6" spans="1:15" s="1" customFormat="1" ht="22.5" customHeight="1" thickBot="1" x14ac:dyDescent="0.3">
      <c r="A6" s="61" t="s">
        <v>14</v>
      </c>
      <c r="B6" s="62"/>
      <c r="C6" s="62"/>
      <c r="D6" s="53">
        <f>D7+D18+D57+D127+D129+D131+D140+D142+D112+D115+D118+D121</f>
        <v>11269037.050000003</v>
      </c>
      <c r="E6" s="53">
        <f t="shared" ref="E6:L6" si="0">E7+E18+E57+E127+E129+E131+E140+E142+E112+E115+E118+E121</f>
        <v>2461475.4300000002</v>
      </c>
      <c r="F6" s="53">
        <f t="shared" si="0"/>
        <v>6068255.7100000009</v>
      </c>
      <c r="G6" s="53">
        <f t="shared" si="0"/>
        <v>7501571.2699999996</v>
      </c>
      <c r="H6" s="53">
        <f t="shared" si="0"/>
        <v>0</v>
      </c>
      <c r="I6" s="53">
        <f t="shared" si="0"/>
        <v>6755112.0799999982</v>
      </c>
      <c r="J6" s="53">
        <f t="shared" si="0"/>
        <v>2349811.0000000005</v>
      </c>
      <c r="K6" s="53">
        <f t="shared" si="0"/>
        <v>3045232.15</v>
      </c>
      <c r="L6" s="53">
        <f t="shared" si="0"/>
        <v>2872254.15</v>
      </c>
      <c r="M6" s="7">
        <f>SUM(D6:L6)</f>
        <v>42322748.840000004</v>
      </c>
      <c r="O6" s="29">
        <f>M6-M54-M106-O107-M142-M56</f>
        <v>40047711.909999996</v>
      </c>
    </row>
    <row r="7" spans="1:15" s="1" customFormat="1" ht="13.7" customHeight="1" x14ac:dyDescent="0.25">
      <c r="A7" s="12" t="s">
        <v>16</v>
      </c>
      <c r="B7" s="5">
        <v>610160</v>
      </c>
      <c r="C7" s="6" t="s">
        <v>9</v>
      </c>
      <c r="D7" s="5">
        <f t="shared" ref="D7:K7" si="1">SUM(D8:D16)</f>
        <v>0</v>
      </c>
      <c r="E7" s="5">
        <f t="shared" si="1"/>
        <v>0</v>
      </c>
      <c r="F7" s="5">
        <f t="shared" si="1"/>
        <v>0</v>
      </c>
      <c r="G7" s="5">
        <f t="shared" si="1"/>
        <v>0</v>
      </c>
      <c r="H7" s="5">
        <f t="shared" si="1"/>
        <v>0</v>
      </c>
      <c r="I7" s="5">
        <f t="shared" si="1"/>
        <v>0</v>
      </c>
      <c r="J7" s="5">
        <f t="shared" si="1"/>
        <v>0</v>
      </c>
      <c r="K7" s="5">
        <f t="shared" si="1"/>
        <v>0</v>
      </c>
      <c r="L7" s="22">
        <f>SUM(L8:L17)</f>
        <v>999592.92999999993</v>
      </c>
      <c r="M7" s="13">
        <f>D7+E7+G7+H7+L7+F7+I7+J7</f>
        <v>999592.92999999993</v>
      </c>
      <c r="O7" s="29">
        <f>M7</f>
        <v>999592.92999999993</v>
      </c>
    </row>
    <row r="8" spans="1:15" s="1" customFormat="1" ht="13.7" customHeight="1" x14ac:dyDescent="0.25">
      <c r="A8" s="12"/>
      <c r="B8" s="5"/>
      <c r="C8" s="14" t="s">
        <v>24</v>
      </c>
      <c r="D8" s="41"/>
      <c r="E8" s="41"/>
      <c r="F8" s="41"/>
      <c r="G8" s="41"/>
      <c r="H8" s="42"/>
      <c r="I8" s="42"/>
      <c r="J8" s="42"/>
      <c r="K8" s="42"/>
      <c r="L8" s="43">
        <v>762861.7</v>
      </c>
      <c r="M8" s="20">
        <f>SUM(D8:L8)</f>
        <v>762861.7</v>
      </c>
    </row>
    <row r="9" spans="1:15" s="1" customFormat="1" ht="13.7" customHeight="1" x14ac:dyDescent="0.25">
      <c r="A9" s="12"/>
      <c r="B9" s="5"/>
      <c r="C9" s="14" t="s">
        <v>23</v>
      </c>
      <c r="D9" s="41"/>
      <c r="E9" s="41"/>
      <c r="F9" s="41"/>
      <c r="G9" s="41"/>
      <c r="H9" s="42"/>
      <c r="I9" s="42"/>
      <c r="J9" s="42"/>
      <c r="K9" s="42"/>
      <c r="L9" s="43">
        <v>168657.23</v>
      </c>
      <c r="M9" s="20">
        <f t="shared" ref="M9:M17" si="2">SUM(D9:L9)</f>
        <v>168657.23</v>
      </c>
    </row>
    <row r="10" spans="1:15" s="1" customFormat="1" ht="13.7" customHeight="1" x14ac:dyDescent="0.25">
      <c r="A10" s="12"/>
      <c r="B10" s="5"/>
      <c r="C10" s="14" t="s">
        <v>80</v>
      </c>
      <c r="D10" s="41"/>
      <c r="E10" s="41"/>
      <c r="F10" s="41"/>
      <c r="G10" s="41"/>
      <c r="H10" s="42"/>
      <c r="I10" s="42"/>
      <c r="J10" s="42"/>
      <c r="K10" s="42"/>
      <c r="L10" s="43">
        <v>6000</v>
      </c>
      <c r="M10" s="20">
        <f t="shared" si="2"/>
        <v>6000</v>
      </c>
    </row>
    <row r="11" spans="1:15" s="1" customFormat="1" ht="13.7" customHeight="1" x14ac:dyDescent="0.25">
      <c r="A11" s="12"/>
      <c r="B11" s="5"/>
      <c r="C11" s="15" t="s">
        <v>17</v>
      </c>
      <c r="D11" s="41"/>
      <c r="E11" s="41"/>
      <c r="F11" s="41"/>
      <c r="G11" s="41"/>
      <c r="H11" s="42"/>
      <c r="I11" s="42"/>
      <c r="J11" s="42"/>
      <c r="K11" s="42"/>
      <c r="L11" s="44">
        <v>2920</v>
      </c>
      <c r="M11" s="20">
        <f t="shared" si="2"/>
        <v>2920</v>
      </c>
    </row>
    <row r="12" spans="1:15" s="1" customFormat="1" ht="13.7" customHeight="1" x14ac:dyDescent="0.25">
      <c r="A12" s="12"/>
      <c r="B12" s="5"/>
      <c r="C12" s="15" t="s">
        <v>18</v>
      </c>
      <c r="D12" s="41"/>
      <c r="E12" s="41"/>
      <c r="F12" s="41"/>
      <c r="G12" s="41"/>
      <c r="H12" s="42"/>
      <c r="I12" s="42"/>
      <c r="J12" s="42"/>
      <c r="K12" s="42"/>
      <c r="L12" s="44">
        <f>2000+3000+3000+4000+1260</f>
        <v>13260</v>
      </c>
      <c r="M12" s="20">
        <f t="shared" si="2"/>
        <v>13260</v>
      </c>
    </row>
    <row r="13" spans="1:15" s="1" customFormat="1" ht="13.7" customHeight="1" x14ac:dyDescent="0.25">
      <c r="A13" s="12"/>
      <c r="B13" s="5"/>
      <c r="C13" s="15" t="s">
        <v>19</v>
      </c>
      <c r="D13" s="41"/>
      <c r="E13" s="41"/>
      <c r="F13" s="41"/>
      <c r="G13" s="41"/>
      <c r="H13" s="42"/>
      <c r="I13" s="42"/>
      <c r="J13" s="42"/>
      <c r="K13" s="42"/>
      <c r="L13" s="44">
        <f>50+27520</f>
        <v>27570</v>
      </c>
      <c r="M13" s="20">
        <f t="shared" si="2"/>
        <v>27570</v>
      </c>
    </row>
    <row r="14" spans="1:15" s="1" customFormat="1" ht="13.7" customHeight="1" x14ac:dyDescent="0.25">
      <c r="A14" s="12"/>
      <c r="B14" s="5"/>
      <c r="C14" s="16" t="s">
        <v>20</v>
      </c>
      <c r="D14" s="41"/>
      <c r="E14" s="41"/>
      <c r="F14" s="41"/>
      <c r="G14" s="41"/>
      <c r="H14" s="42"/>
      <c r="I14" s="42"/>
      <c r="J14" s="42"/>
      <c r="K14" s="42"/>
      <c r="L14" s="44">
        <v>10080</v>
      </c>
      <c r="M14" s="20">
        <f t="shared" si="2"/>
        <v>10080</v>
      </c>
    </row>
    <row r="15" spans="1:15" s="1" customFormat="1" ht="13.7" customHeight="1" x14ac:dyDescent="0.25">
      <c r="A15" s="12"/>
      <c r="B15" s="5"/>
      <c r="C15" s="16" t="s">
        <v>21</v>
      </c>
      <c r="D15" s="41"/>
      <c r="E15" s="41"/>
      <c r="F15" s="41"/>
      <c r="G15" s="41"/>
      <c r="H15" s="42"/>
      <c r="I15" s="42"/>
      <c r="J15" s="42"/>
      <c r="K15" s="42"/>
      <c r="L15" s="44">
        <v>516</v>
      </c>
      <c r="M15" s="20">
        <f>SUM(D15:L15)</f>
        <v>516</v>
      </c>
    </row>
    <row r="16" spans="1:15" s="1" customFormat="1" ht="13.7" customHeight="1" x14ac:dyDescent="0.25">
      <c r="A16" s="12"/>
      <c r="B16" s="5"/>
      <c r="C16" s="16" t="s">
        <v>22</v>
      </c>
      <c r="D16" s="41"/>
      <c r="E16" s="41"/>
      <c r="F16" s="41"/>
      <c r="G16" s="41"/>
      <c r="H16" s="42"/>
      <c r="I16" s="42"/>
      <c r="J16" s="42"/>
      <c r="K16" s="42"/>
      <c r="L16" s="44">
        <v>5072</v>
      </c>
      <c r="M16" s="20">
        <f t="shared" si="2"/>
        <v>5072</v>
      </c>
    </row>
    <row r="17" spans="1:15" s="1" customFormat="1" ht="13.7" customHeight="1" x14ac:dyDescent="0.25">
      <c r="A17" s="12"/>
      <c r="B17" s="5"/>
      <c r="C17" s="16" t="s">
        <v>61</v>
      </c>
      <c r="D17" s="41"/>
      <c r="E17" s="41"/>
      <c r="F17" s="41"/>
      <c r="G17" s="41"/>
      <c r="H17" s="42"/>
      <c r="I17" s="42"/>
      <c r="J17" s="42"/>
      <c r="K17" s="42"/>
      <c r="L17" s="44">
        <v>2656</v>
      </c>
      <c r="M17" s="20">
        <f t="shared" si="2"/>
        <v>2656</v>
      </c>
    </row>
    <row r="18" spans="1:15" s="1" customFormat="1" ht="13.7" customHeight="1" x14ac:dyDescent="0.25">
      <c r="A18" s="10" t="s">
        <v>25</v>
      </c>
      <c r="B18" s="3">
        <v>611010</v>
      </c>
      <c r="C18" s="4" t="s">
        <v>10</v>
      </c>
      <c r="D18" s="45">
        <f>SUM(D19:D54)</f>
        <v>0</v>
      </c>
      <c r="E18" s="45">
        <f t="shared" ref="E18:L18" si="3">SUM(E19:E56)</f>
        <v>2460611.4500000002</v>
      </c>
      <c r="F18" s="45">
        <f t="shared" si="3"/>
        <v>0</v>
      </c>
      <c r="G18" s="45">
        <f t="shared" si="3"/>
        <v>0</v>
      </c>
      <c r="H18" s="45">
        <f t="shared" si="3"/>
        <v>0</v>
      </c>
      <c r="I18" s="45">
        <f t="shared" si="3"/>
        <v>0</v>
      </c>
      <c r="J18" s="45">
        <f t="shared" si="3"/>
        <v>2349379.0100000002</v>
      </c>
      <c r="K18" s="45">
        <f t="shared" si="3"/>
        <v>0</v>
      </c>
      <c r="L18" s="45">
        <f t="shared" si="3"/>
        <v>0</v>
      </c>
      <c r="M18" s="34">
        <f>D18+E18+G18+H18+L18+F18+I18+J18</f>
        <v>4809990.4600000009</v>
      </c>
      <c r="O18" s="31">
        <f>M18-M54-M56</f>
        <v>4675606.9400000013</v>
      </c>
    </row>
    <row r="19" spans="1:15" s="1" customFormat="1" ht="13.7" customHeight="1" x14ac:dyDescent="0.25">
      <c r="A19" s="10"/>
      <c r="B19" s="3"/>
      <c r="C19" s="14" t="s">
        <v>24</v>
      </c>
      <c r="D19" s="40"/>
      <c r="E19" s="46">
        <v>1251079.3799999999</v>
      </c>
      <c r="F19" s="47"/>
      <c r="G19" s="47"/>
      <c r="H19" s="47"/>
      <c r="I19" s="47"/>
      <c r="J19" s="46">
        <v>1261853.26</v>
      </c>
      <c r="K19" s="46"/>
      <c r="L19" s="48"/>
      <c r="M19" s="28">
        <f>SUM(D19:L19)</f>
        <v>2512932.6399999997</v>
      </c>
    </row>
    <row r="20" spans="1:15" s="1" customFormat="1" ht="13.7" customHeight="1" x14ac:dyDescent="0.25">
      <c r="A20" s="10"/>
      <c r="B20" s="3"/>
      <c r="C20" s="14" t="s">
        <v>23</v>
      </c>
      <c r="D20" s="40"/>
      <c r="E20" s="46">
        <v>306344.55</v>
      </c>
      <c r="F20" s="47"/>
      <c r="G20" s="47"/>
      <c r="H20" s="47"/>
      <c r="I20" s="47"/>
      <c r="J20" s="46">
        <v>290450.57</v>
      </c>
      <c r="K20" s="46"/>
      <c r="L20" s="48"/>
      <c r="M20" s="28">
        <f>SUM(D20:L20)</f>
        <v>596795.12</v>
      </c>
    </row>
    <row r="21" spans="1:15" s="1" customFormat="1" ht="13.7" customHeight="1" x14ac:dyDescent="0.25">
      <c r="A21" s="10"/>
      <c r="B21" s="3"/>
      <c r="C21" s="16" t="s">
        <v>30</v>
      </c>
      <c r="D21" s="40"/>
      <c r="E21" s="47">
        <v>10888.83</v>
      </c>
      <c r="F21" s="40"/>
      <c r="G21" s="40"/>
      <c r="H21" s="40"/>
      <c r="I21" s="40"/>
      <c r="J21" s="47">
        <v>10978.24</v>
      </c>
      <c r="K21" s="47"/>
      <c r="L21" s="48"/>
      <c r="M21" s="21">
        <f t="shared" ref="M21:M56" si="4">SUM(D21:L21)</f>
        <v>21867.07</v>
      </c>
      <c r="O21" s="29"/>
    </row>
    <row r="22" spans="1:15" s="1" customFormat="1" ht="13.7" customHeight="1" x14ac:dyDescent="0.25">
      <c r="A22" s="10"/>
      <c r="B22" s="3"/>
      <c r="C22" s="16" t="s">
        <v>107</v>
      </c>
      <c r="D22" s="40"/>
      <c r="E22" s="47">
        <v>596</v>
      </c>
      <c r="F22" s="40"/>
      <c r="G22" s="40"/>
      <c r="H22" s="40"/>
      <c r="I22" s="40"/>
      <c r="J22" s="47"/>
      <c r="K22" s="47"/>
      <c r="L22" s="48"/>
      <c r="M22" s="21">
        <f t="shared" si="4"/>
        <v>596</v>
      </c>
      <c r="O22" s="29"/>
    </row>
    <row r="23" spans="1:15" s="1" customFormat="1" ht="13.7" customHeight="1" x14ac:dyDescent="0.25">
      <c r="A23" s="10"/>
      <c r="B23" s="3"/>
      <c r="C23" s="16" t="s">
        <v>108</v>
      </c>
      <c r="D23" s="40"/>
      <c r="E23" s="47">
        <f>900+4530</f>
        <v>5430</v>
      </c>
      <c r="F23" s="40"/>
      <c r="G23" s="40"/>
      <c r="H23" s="40"/>
      <c r="I23" s="40"/>
      <c r="J23" s="47">
        <f>900+6795</f>
        <v>7695</v>
      </c>
      <c r="K23" s="47"/>
      <c r="L23" s="48"/>
      <c r="M23" s="21">
        <f t="shared" si="4"/>
        <v>13125</v>
      </c>
      <c r="O23" s="29"/>
    </row>
    <row r="24" spans="1:15" s="1" customFormat="1" ht="13.7" customHeight="1" x14ac:dyDescent="0.25">
      <c r="A24" s="10"/>
      <c r="B24" s="3"/>
      <c r="C24" s="16" t="s">
        <v>109</v>
      </c>
      <c r="D24" s="40"/>
      <c r="E24" s="47">
        <f>7755+1679</f>
        <v>9434</v>
      </c>
      <c r="F24" s="40"/>
      <c r="G24" s="40"/>
      <c r="H24" s="40"/>
      <c r="I24" s="40"/>
      <c r="J24" s="47">
        <f>7755+1679</f>
        <v>9434</v>
      </c>
      <c r="K24" s="47"/>
      <c r="L24" s="48"/>
      <c r="M24" s="21">
        <f t="shared" si="4"/>
        <v>18868</v>
      </c>
      <c r="O24" s="29"/>
    </row>
    <row r="25" spans="1:15" s="1" customFormat="1" ht="13.7" customHeight="1" x14ac:dyDescent="0.25">
      <c r="A25" s="10"/>
      <c r="B25" s="3"/>
      <c r="C25" s="16" t="s">
        <v>92</v>
      </c>
      <c r="D25" s="40"/>
      <c r="E25" s="47">
        <v>4929</v>
      </c>
      <c r="F25" s="40"/>
      <c r="G25" s="40"/>
      <c r="H25" s="40"/>
      <c r="I25" s="40"/>
      <c r="J25" s="47">
        <v>3339</v>
      </c>
      <c r="K25" s="47"/>
      <c r="L25" s="48"/>
      <c r="M25" s="21">
        <f t="shared" si="4"/>
        <v>8268</v>
      </c>
      <c r="O25" s="29"/>
    </row>
    <row r="26" spans="1:15" s="1" customFormat="1" ht="13.7" customHeight="1" x14ac:dyDescent="0.25">
      <c r="A26" s="10"/>
      <c r="B26" s="3"/>
      <c r="C26" s="16" t="s">
        <v>58</v>
      </c>
      <c r="D26" s="40"/>
      <c r="E26" s="47">
        <f>20000+537.44+1416.51+982.83+13252+443.38+3025+643.11+820.2-2685.11</f>
        <v>38435.359999999993</v>
      </c>
      <c r="F26" s="40"/>
      <c r="G26" s="40"/>
      <c r="H26" s="40"/>
      <c r="I26" s="40"/>
      <c r="J26" s="47">
        <f>253.39+262+609.43+636.3+317.68+1286.73+967.96</f>
        <v>4333.49</v>
      </c>
      <c r="K26" s="47"/>
      <c r="L26" s="48"/>
      <c r="M26" s="21">
        <f t="shared" si="4"/>
        <v>42768.849999999991</v>
      </c>
      <c r="O26" s="29"/>
    </row>
    <row r="27" spans="1:15" s="1" customFormat="1" ht="13.7" customHeight="1" x14ac:dyDescent="0.25">
      <c r="A27" s="10"/>
      <c r="B27" s="3"/>
      <c r="C27" s="16" t="s">
        <v>77</v>
      </c>
      <c r="D27" s="40"/>
      <c r="E27" s="47">
        <v>666.82</v>
      </c>
      <c r="F27" s="40"/>
      <c r="G27" s="40"/>
      <c r="H27" s="40"/>
      <c r="I27" s="40"/>
      <c r="J27" s="47">
        <v>662</v>
      </c>
      <c r="K27" s="47"/>
      <c r="L27" s="48"/>
      <c r="M27" s="21">
        <f t="shared" si="4"/>
        <v>1328.8200000000002</v>
      </c>
      <c r="O27" s="29"/>
    </row>
    <row r="28" spans="1:15" s="1" customFormat="1" ht="13.7" customHeight="1" x14ac:dyDescent="0.25">
      <c r="A28" s="10"/>
      <c r="B28" s="3"/>
      <c r="C28" s="16" t="s">
        <v>80</v>
      </c>
      <c r="D28" s="40"/>
      <c r="E28" s="47">
        <f>995+1596+955+2000+8000</f>
        <v>13546</v>
      </c>
      <c r="F28" s="40"/>
      <c r="G28" s="40"/>
      <c r="H28" s="40"/>
      <c r="I28" s="40"/>
      <c r="J28" s="47">
        <f>1300+8000</f>
        <v>9300</v>
      </c>
      <c r="K28" s="47"/>
      <c r="L28" s="48"/>
      <c r="M28" s="21">
        <f t="shared" si="4"/>
        <v>22846</v>
      </c>
      <c r="O28" s="29"/>
    </row>
    <row r="29" spans="1:15" s="1" customFormat="1" ht="13.7" customHeight="1" x14ac:dyDescent="0.25">
      <c r="A29" s="10"/>
      <c r="B29" s="3"/>
      <c r="C29" s="16" t="s">
        <v>87</v>
      </c>
      <c r="D29" s="40"/>
      <c r="E29" s="47">
        <v>600</v>
      </c>
      <c r="F29" s="40"/>
      <c r="G29" s="40"/>
      <c r="H29" s="40"/>
      <c r="I29" s="40"/>
      <c r="J29" s="47">
        <v>600</v>
      </c>
      <c r="K29" s="47"/>
      <c r="L29" s="48"/>
      <c r="M29" s="21">
        <f t="shared" si="4"/>
        <v>1200</v>
      </c>
    </row>
    <row r="30" spans="1:15" s="1" customFormat="1" ht="13.7" customHeight="1" x14ac:dyDescent="0.25">
      <c r="A30" s="10"/>
      <c r="B30" s="3"/>
      <c r="C30" s="16" t="s">
        <v>74</v>
      </c>
      <c r="D30" s="40"/>
      <c r="E30" s="47">
        <v>160</v>
      </c>
      <c r="F30" s="40"/>
      <c r="G30" s="40"/>
      <c r="H30" s="40"/>
      <c r="I30" s="40"/>
      <c r="J30" s="47"/>
      <c r="K30" s="47"/>
      <c r="L30" s="48"/>
      <c r="M30" s="21">
        <f t="shared" si="4"/>
        <v>160</v>
      </c>
    </row>
    <row r="31" spans="1:15" s="1" customFormat="1" ht="13.7" customHeight="1" x14ac:dyDescent="0.25">
      <c r="A31" s="10"/>
      <c r="B31" s="3"/>
      <c r="C31" s="16" t="s">
        <v>68</v>
      </c>
      <c r="D31" s="40"/>
      <c r="E31" s="47">
        <f>34045+2989.22</f>
        <v>37034.22</v>
      </c>
      <c r="F31" s="40"/>
      <c r="G31" s="40"/>
      <c r="H31" s="40"/>
      <c r="I31" s="40"/>
      <c r="J31" s="47">
        <f>870+670+34045</f>
        <v>35585</v>
      </c>
      <c r="K31" s="47"/>
      <c r="L31" s="48"/>
      <c r="M31" s="21">
        <f t="shared" si="4"/>
        <v>72619.22</v>
      </c>
    </row>
    <row r="32" spans="1:15" s="1" customFormat="1" ht="13.7" customHeight="1" x14ac:dyDescent="0.25">
      <c r="A32" s="10"/>
      <c r="B32" s="3"/>
      <c r="C32" s="16" t="s">
        <v>31</v>
      </c>
      <c r="D32" s="40"/>
      <c r="E32" s="40">
        <v>4800</v>
      </c>
      <c r="F32" s="40"/>
      <c r="G32" s="40"/>
      <c r="H32" s="40"/>
      <c r="I32" s="40"/>
      <c r="J32" s="40">
        <v>4800</v>
      </c>
      <c r="K32" s="40"/>
      <c r="L32" s="48"/>
      <c r="M32" s="21">
        <f t="shared" si="4"/>
        <v>9600</v>
      </c>
      <c r="O32" s="29"/>
    </row>
    <row r="33" spans="1:15" s="1" customFormat="1" ht="13.7" customHeight="1" x14ac:dyDescent="0.25">
      <c r="A33" s="10"/>
      <c r="B33" s="3"/>
      <c r="C33" s="16" t="s">
        <v>110</v>
      </c>
      <c r="D33" s="40"/>
      <c r="E33" s="40">
        <v>1250</v>
      </c>
      <c r="F33" s="40"/>
      <c r="G33" s="40"/>
      <c r="H33" s="40"/>
      <c r="I33" s="40"/>
      <c r="J33" s="40">
        <v>1250</v>
      </c>
      <c r="K33" s="40"/>
      <c r="L33" s="48"/>
      <c r="M33" s="21">
        <f t="shared" si="4"/>
        <v>2500</v>
      </c>
      <c r="O33" s="29"/>
    </row>
    <row r="34" spans="1:15" s="1" customFormat="1" ht="13.7" customHeight="1" x14ac:dyDescent="0.25">
      <c r="A34" s="10"/>
      <c r="B34" s="3"/>
      <c r="C34" s="16" t="s">
        <v>69</v>
      </c>
      <c r="D34" s="40"/>
      <c r="E34" s="40">
        <v>3412.8</v>
      </c>
      <c r="F34" s="40"/>
      <c r="G34" s="40"/>
      <c r="H34" s="40"/>
      <c r="I34" s="40"/>
      <c r="J34" s="40">
        <v>3412.8</v>
      </c>
      <c r="K34" s="40"/>
      <c r="L34" s="48"/>
      <c r="M34" s="21">
        <f t="shared" si="4"/>
        <v>6825.6</v>
      </c>
      <c r="O34" s="29"/>
    </row>
    <row r="35" spans="1:15" s="1" customFormat="1" ht="13.7" customHeight="1" x14ac:dyDescent="0.25">
      <c r="A35" s="10"/>
      <c r="B35" s="3"/>
      <c r="C35" s="16" t="s">
        <v>84</v>
      </c>
      <c r="D35" s="40"/>
      <c r="E35" s="40">
        <v>600</v>
      </c>
      <c r="F35" s="40"/>
      <c r="G35" s="40"/>
      <c r="H35" s="40"/>
      <c r="I35" s="40"/>
      <c r="J35" s="40">
        <v>600</v>
      </c>
      <c r="K35" s="40"/>
      <c r="L35" s="48"/>
      <c r="M35" s="21">
        <f t="shared" si="4"/>
        <v>1200</v>
      </c>
      <c r="O35" s="29"/>
    </row>
    <row r="36" spans="1:15" s="1" customFormat="1" ht="13.7" customHeight="1" x14ac:dyDescent="0.25">
      <c r="A36" s="10"/>
      <c r="B36" s="3"/>
      <c r="C36" s="16" t="s">
        <v>85</v>
      </c>
      <c r="D36" s="40"/>
      <c r="E36" s="40">
        <f>1753.21+1753.21+1753.21+1753.21</f>
        <v>7012.84</v>
      </c>
      <c r="F36" s="40"/>
      <c r="G36" s="40"/>
      <c r="H36" s="40"/>
      <c r="I36" s="40"/>
      <c r="J36" s="40">
        <v>8012.84</v>
      </c>
      <c r="K36" s="40"/>
      <c r="L36" s="48"/>
      <c r="M36" s="21">
        <f t="shared" si="4"/>
        <v>15025.68</v>
      </c>
      <c r="O36" s="29"/>
    </row>
    <row r="37" spans="1:15" s="1" customFormat="1" ht="13.7" customHeight="1" x14ac:dyDescent="0.25">
      <c r="A37" s="10"/>
      <c r="B37" s="3"/>
      <c r="C37" s="16" t="s">
        <v>111</v>
      </c>
      <c r="D37" s="40"/>
      <c r="E37" s="40">
        <v>1530</v>
      </c>
      <c r="F37" s="40"/>
      <c r="G37" s="40"/>
      <c r="H37" s="40"/>
      <c r="I37" s="40"/>
      <c r="J37" s="40"/>
      <c r="K37" s="40"/>
      <c r="L37" s="48"/>
      <c r="M37" s="21"/>
      <c r="O37" s="29"/>
    </row>
    <row r="38" spans="1:15" s="1" customFormat="1" ht="30" x14ac:dyDescent="0.25">
      <c r="A38" s="10"/>
      <c r="B38" s="3"/>
      <c r="C38" s="18" t="s">
        <v>59</v>
      </c>
      <c r="D38" s="40"/>
      <c r="E38" s="40"/>
      <c r="F38" s="40"/>
      <c r="G38" s="40"/>
      <c r="H38" s="40"/>
      <c r="I38" s="40"/>
      <c r="J38" s="40">
        <f>400+350+350+800+750+750+1600+1400+750+750+750</f>
        <v>8650</v>
      </c>
      <c r="K38" s="40"/>
      <c r="L38" s="48"/>
      <c r="M38" s="21">
        <f t="shared" si="4"/>
        <v>8650</v>
      </c>
    </row>
    <row r="39" spans="1:15" s="1" customFormat="1" ht="30" x14ac:dyDescent="0.25">
      <c r="A39" s="10"/>
      <c r="B39" s="3"/>
      <c r="C39" s="18" t="s">
        <v>114</v>
      </c>
      <c r="D39" s="40"/>
      <c r="E39" s="40">
        <f>49480+44100</f>
        <v>93580</v>
      </c>
      <c r="F39" s="40"/>
      <c r="G39" s="40"/>
      <c r="H39" s="40"/>
      <c r="I39" s="40"/>
      <c r="J39" s="40">
        <f>49980+44100</f>
        <v>94080</v>
      </c>
      <c r="K39" s="40"/>
      <c r="L39" s="48"/>
      <c r="M39" s="21">
        <f t="shared" si="4"/>
        <v>187660</v>
      </c>
    </row>
    <row r="40" spans="1:15" s="1" customFormat="1" x14ac:dyDescent="0.25">
      <c r="A40" s="10"/>
      <c r="B40" s="3"/>
      <c r="C40" s="18" t="s">
        <v>93</v>
      </c>
      <c r="D40" s="40"/>
      <c r="E40" s="40">
        <v>3745</v>
      </c>
      <c r="F40" s="40"/>
      <c r="G40" s="40"/>
      <c r="H40" s="40"/>
      <c r="I40" s="40"/>
      <c r="J40" s="40"/>
      <c r="K40" s="40"/>
      <c r="L40" s="48"/>
      <c r="M40" s="21">
        <f t="shared" si="4"/>
        <v>3745</v>
      </c>
    </row>
    <row r="41" spans="1:15" s="1" customFormat="1" x14ac:dyDescent="0.25">
      <c r="A41" s="10"/>
      <c r="B41" s="3"/>
      <c r="C41" s="18" t="s">
        <v>115</v>
      </c>
      <c r="D41" s="40"/>
      <c r="E41" s="40"/>
      <c r="F41" s="40"/>
      <c r="G41" s="40"/>
      <c r="H41" s="40"/>
      <c r="I41" s="40"/>
      <c r="J41" s="40">
        <v>27650.959999999999</v>
      </c>
      <c r="K41" s="40"/>
      <c r="L41" s="48"/>
      <c r="M41" s="21">
        <f t="shared" si="4"/>
        <v>27650.959999999999</v>
      </c>
    </row>
    <row r="42" spans="1:15" s="1" customFormat="1" x14ac:dyDescent="0.25">
      <c r="A42" s="10"/>
      <c r="B42" s="3"/>
      <c r="C42" s="18" t="s">
        <v>116</v>
      </c>
      <c r="D42" s="40"/>
      <c r="E42" s="40">
        <v>88008.77</v>
      </c>
      <c r="F42" s="40"/>
      <c r="G42" s="40"/>
      <c r="H42" s="40"/>
      <c r="I42" s="40"/>
      <c r="J42" s="40">
        <v>37536.1</v>
      </c>
      <c r="K42" s="40"/>
      <c r="L42" s="48"/>
      <c r="M42" s="21">
        <f t="shared" si="4"/>
        <v>125544.87</v>
      </c>
    </row>
    <row r="43" spans="1:15" s="1" customFormat="1" ht="17.25" customHeight="1" x14ac:dyDescent="0.25">
      <c r="A43" s="10"/>
      <c r="B43" s="3"/>
      <c r="C43" s="18" t="s">
        <v>117</v>
      </c>
      <c r="D43" s="40"/>
      <c r="E43" s="40">
        <f>6991+300</f>
        <v>7291</v>
      </c>
      <c r="F43" s="40"/>
      <c r="G43" s="40"/>
      <c r="H43" s="40"/>
      <c r="I43" s="40"/>
      <c r="J43" s="40">
        <v>7291</v>
      </c>
      <c r="K43" s="40"/>
      <c r="L43" s="48"/>
      <c r="M43" s="21">
        <f t="shared" si="4"/>
        <v>14582</v>
      </c>
    </row>
    <row r="44" spans="1:15" s="1" customFormat="1" ht="13.7" customHeight="1" x14ac:dyDescent="0.25">
      <c r="A44" s="10"/>
      <c r="B44" s="3"/>
      <c r="C44" s="16" t="s">
        <v>32</v>
      </c>
      <c r="D44" s="40"/>
      <c r="E44" s="40">
        <v>4800</v>
      </c>
      <c r="F44" s="40"/>
      <c r="G44" s="40"/>
      <c r="H44" s="40"/>
      <c r="I44" s="40"/>
      <c r="J44" s="40"/>
      <c r="K44" s="40"/>
      <c r="L44" s="48"/>
      <c r="M44" s="21">
        <f t="shared" si="4"/>
        <v>4800</v>
      </c>
    </row>
    <row r="45" spans="1:15" s="1" customFormat="1" ht="13.7" customHeight="1" x14ac:dyDescent="0.25">
      <c r="A45" s="10"/>
      <c r="B45" s="3"/>
      <c r="C45" s="16" t="s">
        <v>113</v>
      </c>
      <c r="D45" s="40"/>
      <c r="E45" s="40"/>
      <c r="F45" s="40"/>
      <c r="G45" s="40"/>
      <c r="H45" s="40"/>
      <c r="I45" s="40"/>
      <c r="J45" s="40">
        <v>12800</v>
      </c>
      <c r="K45" s="40"/>
      <c r="L45" s="48"/>
      <c r="M45" s="21">
        <f t="shared" si="4"/>
        <v>12800</v>
      </c>
    </row>
    <row r="46" spans="1:15" s="1" customFormat="1" ht="13.7" customHeight="1" x14ac:dyDescent="0.25">
      <c r="A46" s="10"/>
      <c r="B46" s="3"/>
      <c r="C46" s="16" t="s">
        <v>70</v>
      </c>
      <c r="D46" s="40"/>
      <c r="E46" s="40">
        <f>847+847.8+847.8+1023.3</f>
        <v>3565.8999999999996</v>
      </c>
      <c r="F46" s="40"/>
      <c r="G46" s="40"/>
      <c r="H46" s="40"/>
      <c r="I46" s="40"/>
      <c r="J46" s="40">
        <v>3565.9</v>
      </c>
      <c r="K46" s="40"/>
      <c r="L46" s="48"/>
      <c r="M46" s="21">
        <f t="shared" si="4"/>
        <v>7131.7999999999993</v>
      </c>
    </row>
    <row r="47" spans="1:15" s="1" customFormat="1" ht="13.7" customHeight="1" x14ac:dyDescent="0.25">
      <c r="A47" s="10"/>
      <c r="B47" s="3"/>
      <c r="C47" s="16" t="s">
        <v>112</v>
      </c>
      <c r="D47" s="40"/>
      <c r="E47" s="40">
        <f>5886.28+21444</f>
        <v>27330.28</v>
      </c>
      <c r="F47" s="40"/>
      <c r="G47" s="40"/>
      <c r="H47" s="40"/>
      <c r="I47" s="40"/>
      <c r="J47" s="40">
        <f>10026.8+21442.73</f>
        <v>31469.53</v>
      </c>
      <c r="K47" s="40"/>
      <c r="L47" s="48"/>
      <c r="M47" s="21">
        <f t="shared" si="4"/>
        <v>58799.81</v>
      </c>
    </row>
    <row r="48" spans="1:15" s="1" customFormat="1" ht="13.7" customHeight="1" x14ac:dyDescent="0.25">
      <c r="A48" s="10"/>
      <c r="B48" s="3"/>
      <c r="C48" s="16" t="s">
        <v>86</v>
      </c>
      <c r="D48" s="40"/>
      <c r="E48" s="40">
        <f>933+1390</f>
        <v>2323</v>
      </c>
      <c r="F48" s="40"/>
      <c r="G48" s="40"/>
      <c r="H48" s="40"/>
      <c r="I48" s="40"/>
      <c r="J48" s="40">
        <f>933+1390</f>
        <v>2323</v>
      </c>
      <c r="K48" s="40"/>
      <c r="L48" s="48"/>
      <c r="M48" s="21">
        <f t="shared" si="4"/>
        <v>4646</v>
      </c>
    </row>
    <row r="49" spans="1:17" s="1" customFormat="1" ht="13.7" customHeight="1" x14ac:dyDescent="0.25">
      <c r="A49" s="10"/>
      <c r="B49" s="3"/>
      <c r="C49" s="16" t="s">
        <v>57</v>
      </c>
      <c r="D49" s="40"/>
      <c r="E49" s="40">
        <v>740</v>
      </c>
      <c r="F49" s="40"/>
      <c r="G49" s="40"/>
      <c r="H49" s="40"/>
      <c r="I49" s="40"/>
      <c r="J49" s="40"/>
      <c r="K49" s="40"/>
      <c r="L49" s="48"/>
      <c r="M49" s="21">
        <f t="shared" si="4"/>
        <v>740</v>
      </c>
    </row>
    <row r="50" spans="1:17" s="1" customFormat="1" ht="13.7" customHeight="1" x14ac:dyDescent="0.25">
      <c r="A50" s="10"/>
      <c r="B50" s="3"/>
      <c r="C50" s="16" t="s">
        <v>33</v>
      </c>
      <c r="D50" s="40"/>
      <c r="E50" s="40">
        <v>56810</v>
      </c>
      <c r="F50" s="40"/>
      <c r="G50" s="40"/>
      <c r="H50" s="40"/>
      <c r="I50" s="40"/>
      <c r="J50" s="40">
        <v>27682.799999999999</v>
      </c>
      <c r="K50" s="40"/>
      <c r="L50" s="48"/>
      <c r="M50" s="21">
        <f t="shared" si="4"/>
        <v>84492.800000000003</v>
      </c>
    </row>
    <row r="51" spans="1:17" s="1" customFormat="1" ht="13.7" customHeight="1" x14ac:dyDescent="0.25">
      <c r="A51" s="10"/>
      <c r="B51" s="3"/>
      <c r="C51" s="16" t="s">
        <v>34</v>
      </c>
      <c r="D51" s="40"/>
      <c r="E51" s="40">
        <f>2111.24+1813.26</f>
        <v>3924.5</v>
      </c>
      <c r="F51" s="40"/>
      <c r="G51" s="40"/>
      <c r="H51" s="40"/>
      <c r="I51" s="40"/>
      <c r="J51" s="40">
        <v>2111.1999999999998</v>
      </c>
      <c r="K51" s="40"/>
      <c r="L51" s="48"/>
      <c r="M51" s="21">
        <f t="shared" si="4"/>
        <v>6035.7</v>
      </c>
    </row>
    <row r="52" spans="1:17" s="1" customFormat="1" ht="13.7" customHeight="1" x14ac:dyDescent="0.25">
      <c r="A52" s="10"/>
      <c r="B52" s="3"/>
      <c r="C52" s="16" t="s">
        <v>62</v>
      </c>
      <c r="D52" s="40"/>
      <c r="E52" s="40">
        <v>404117</v>
      </c>
      <c r="F52" s="40"/>
      <c r="G52" s="40"/>
      <c r="H52" s="40"/>
      <c r="I52" s="40"/>
      <c r="J52" s="40">
        <v>374155</v>
      </c>
      <c r="K52" s="40"/>
      <c r="L52" s="48"/>
      <c r="M52" s="21">
        <f t="shared" si="4"/>
        <v>778272</v>
      </c>
    </row>
    <row r="53" spans="1:17" s="1" customFormat="1" ht="13.7" customHeight="1" x14ac:dyDescent="0.25">
      <c r="A53" s="10"/>
      <c r="B53" s="3"/>
      <c r="C53" s="3" t="s">
        <v>35</v>
      </c>
      <c r="D53" s="40"/>
      <c r="E53" s="40"/>
      <c r="F53" s="40"/>
      <c r="G53" s="40"/>
      <c r="H53" s="40"/>
      <c r="I53" s="40"/>
      <c r="J53" s="40"/>
      <c r="K53" s="40"/>
      <c r="L53" s="48"/>
      <c r="M53" s="21"/>
    </row>
    <row r="54" spans="1:17" s="1" customFormat="1" ht="13.7" customHeight="1" x14ac:dyDescent="0.25">
      <c r="A54" s="10"/>
      <c r="B54" s="3"/>
      <c r="C54" s="17" t="s">
        <v>30</v>
      </c>
      <c r="D54" s="40"/>
      <c r="E54" s="47">
        <v>4646.2</v>
      </c>
      <c r="F54" s="40"/>
      <c r="G54" s="40"/>
      <c r="H54" s="40"/>
      <c r="I54" s="40"/>
      <c r="J54" s="47">
        <v>5777.32</v>
      </c>
      <c r="K54" s="47"/>
      <c r="L54" s="48"/>
      <c r="M54" s="21">
        <f t="shared" si="4"/>
        <v>10423.52</v>
      </c>
    </row>
    <row r="55" spans="1:17" s="1" customFormat="1" ht="13.7" customHeight="1" x14ac:dyDescent="0.25">
      <c r="A55" s="10"/>
      <c r="B55" s="3"/>
      <c r="C55" s="3" t="s">
        <v>47</v>
      </c>
      <c r="D55" s="40"/>
      <c r="E55" s="47"/>
      <c r="F55" s="40"/>
      <c r="G55" s="40"/>
      <c r="H55" s="40"/>
      <c r="I55" s="40"/>
      <c r="J55" s="47"/>
      <c r="K55" s="47"/>
      <c r="L55" s="48"/>
      <c r="M55" s="21"/>
    </row>
    <row r="56" spans="1:17" s="1" customFormat="1" ht="13.7" customHeight="1" x14ac:dyDescent="0.25">
      <c r="A56" s="10"/>
      <c r="B56" s="3"/>
      <c r="C56" s="17" t="s">
        <v>118</v>
      </c>
      <c r="D56" s="40"/>
      <c r="E56" s="47">
        <v>61980</v>
      </c>
      <c r="F56" s="40"/>
      <c r="G56" s="40"/>
      <c r="H56" s="40"/>
      <c r="I56" s="40"/>
      <c r="J56" s="47">
        <v>61980</v>
      </c>
      <c r="K56" s="47"/>
      <c r="L56" s="48"/>
      <c r="M56" s="21">
        <f t="shared" si="4"/>
        <v>123960</v>
      </c>
    </row>
    <row r="57" spans="1:17" s="1" customFormat="1" ht="12.6" customHeight="1" x14ac:dyDescent="0.25">
      <c r="A57" s="10" t="s">
        <v>36</v>
      </c>
      <c r="B57" s="3">
        <v>611021</v>
      </c>
      <c r="C57" s="4" t="s">
        <v>11</v>
      </c>
      <c r="D57" s="45">
        <f>SUM(D58:D111)</f>
        <v>5471317.9400000004</v>
      </c>
      <c r="E57" s="45">
        <f t="shared" ref="E57:L57" si="5">SUM(E58:E109)</f>
        <v>0</v>
      </c>
      <c r="F57" s="45">
        <f t="shared" si="5"/>
        <v>2832632.6199999996</v>
      </c>
      <c r="G57" s="45">
        <f t="shared" si="5"/>
        <v>3970793.189999999</v>
      </c>
      <c r="H57" s="45">
        <f t="shared" si="5"/>
        <v>0</v>
      </c>
      <c r="I57" s="45">
        <f t="shared" si="5"/>
        <v>2967747.7199999988</v>
      </c>
      <c r="J57" s="45">
        <f t="shared" si="5"/>
        <v>0</v>
      </c>
      <c r="K57" s="45">
        <f t="shared" si="5"/>
        <v>3039067.4</v>
      </c>
      <c r="L57" s="45">
        <f t="shared" si="5"/>
        <v>0</v>
      </c>
      <c r="M57" s="36">
        <f>D57+E57+G57+H57+L57+F57+I57+J57+K57</f>
        <v>18281558.869999997</v>
      </c>
      <c r="O57" s="30">
        <f>M57-M106-O107</f>
        <v>17850045.159999996</v>
      </c>
    </row>
    <row r="58" spans="1:17" s="1" customFormat="1" ht="12.6" customHeight="1" x14ac:dyDescent="0.25">
      <c r="A58" s="10"/>
      <c r="B58" s="3"/>
      <c r="C58" s="14" t="s">
        <v>24</v>
      </c>
      <c r="D58" s="46">
        <v>2557537.7000000002</v>
      </c>
      <c r="E58" s="46"/>
      <c r="F58" s="46">
        <v>981896.95</v>
      </c>
      <c r="G58" s="46">
        <v>1907075.46</v>
      </c>
      <c r="H58" s="49"/>
      <c r="I58" s="46">
        <v>1412751.28</v>
      </c>
      <c r="J58" s="49"/>
      <c r="K58" s="46">
        <v>2088716.58</v>
      </c>
      <c r="L58" s="50"/>
      <c r="M58" s="35">
        <f>SUM(D58:L58)</f>
        <v>8947977.9700000007</v>
      </c>
    </row>
    <row r="59" spans="1:17" s="1" customFormat="1" ht="12.6" customHeight="1" x14ac:dyDescent="0.25">
      <c r="A59" s="10"/>
      <c r="B59" s="3"/>
      <c r="C59" s="14" t="s">
        <v>23</v>
      </c>
      <c r="D59" s="46">
        <v>607195.06000000006</v>
      </c>
      <c r="E59" s="46"/>
      <c r="F59" s="46">
        <v>227628.4</v>
      </c>
      <c r="G59" s="46">
        <v>440680.15</v>
      </c>
      <c r="H59" s="49"/>
      <c r="I59" s="46">
        <v>319111.67</v>
      </c>
      <c r="J59" s="49"/>
      <c r="K59" s="46">
        <v>425431.86</v>
      </c>
      <c r="L59" s="50"/>
      <c r="M59" s="35">
        <f t="shared" ref="M59:M105" si="6">SUM(D59:L59)</f>
        <v>2020047.1400000001</v>
      </c>
    </row>
    <row r="60" spans="1:17" s="1" customFormat="1" ht="12.6" customHeight="1" x14ac:dyDescent="0.25">
      <c r="A60" s="10"/>
      <c r="B60" s="3"/>
      <c r="C60" s="16" t="s">
        <v>30</v>
      </c>
      <c r="D60" s="47">
        <v>52923.11</v>
      </c>
      <c r="E60" s="47"/>
      <c r="F60" s="47">
        <v>17057.740000000002</v>
      </c>
      <c r="G60" s="47">
        <v>20038.14</v>
      </c>
      <c r="H60" s="49"/>
      <c r="I60" s="47">
        <v>24213.94</v>
      </c>
      <c r="J60" s="40"/>
      <c r="K60" s="40">
        <v>6143.36</v>
      </c>
      <c r="L60" s="48"/>
      <c r="M60" s="21">
        <f t="shared" si="6"/>
        <v>120376.29000000001</v>
      </c>
    </row>
    <row r="61" spans="1:17" s="1" customFormat="1" ht="12.6" customHeight="1" x14ac:dyDescent="0.25">
      <c r="A61" s="10"/>
      <c r="B61" s="3"/>
      <c r="C61" s="16" t="s">
        <v>72</v>
      </c>
      <c r="D61" s="47">
        <v>3160.8</v>
      </c>
      <c r="E61" s="47"/>
      <c r="F61" s="47"/>
      <c r="G61" s="47">
        <v>1800</v>
      </c>
      <c r="H61" s="49"/>
      <c r="I61" s="47"/>
      <c r="J61" s="40"/>
      <c r="K61" s="40"/>
      <c r="L61" s="48"/>
      <c r="M61" s="21">
        <f t="shared" si="6"/>
        <v>4960.8</v>
      </c>
    </row>
    <row r="62" spans="1:17" s="1" customFormat="1" ht="12.6" customHeight="1" x14ac:dyDescent="0.25">
      <c r="A62" s="10"/>
      <c r="B62" s="3"/>
      <c r="C62" s="16" t="s">
        <v>73</v>
      </c>
      <c r="D62" s="47">
        <f>68090+4494.56</f>
        <v>72584.56</v>
      </c>
      <c r="E62" s="47"/>
      <c r="F62" s="47">
        <f>6513.25+68090</f>
        <v>74603.25</v>
      </c>
      <c r="G62" s="47">
        <f>1010+299.7+112+331.25+327.97+68090</f>
        <v>70170.92</v>
      </c>
      <c r="H62" s="49"/>
      <c r="I62" s="47">
        <f>285.32+171.78+2480+2499.46+661.15+1381.21+68090</f>
        <v>75568.92</v>
      </c>
      <c r="J62" s="40"/>
      <c r="K62" s="40">
        <f>34045+7069.99</f>
        <v>41114.99</v>
      </c>
      <c r="L62" s="48"/>
      <c r="M62" s="21">
        <f t="shared" si="6"/>
        <v>334042.63999999996</v>
      </c>
    </row>
    <row r="63" spans="1:17" s="1" customFormat="1" ht="12.6" customHeight="1" x14ac:dyDescent="0.25">
      <c r="A63" s="10"/>
      <c r="B63" s="3"/>
      <c r="C63" s="16" t="s">
        <v>37</v>
      </c>
      <c r="D63" s="40">
        <f>4570+20306</f>
        <v>24876</v>
      </c>
      <c r="E63" s="40"/>
      <c r="F63" s="40">
        <f>1280+1450</f>
        <v>2730</v>
      </c>
      <c r="G63" s="40">
        <f>12140+10180</f>
        <v>22320</v>
      </c>
      <c r="H63" s="40"/>
      <c r="I63" s="40">
        <f>12480+1600+870+2600+1780+220+8870+350+4250+1350</f>
        <v>34370</v>
      </c>
      <c r="J63" s="40"/>
      <c r="K63" s="40"/>
      <c r="L63" s="48"/>
      <c r="M63" s="21">
        <f t="shared" si="6"/>
        <v>84296</v>
      </c>
      <c r="O63" s="29">
        <f>SUM(M63:M75)</f>
        <v>2120483.0599999996</v>
      </c>
      <c r="P63" s="1">
        <v>2120483.1</v>
      </c>
      <c r="Q63" s="29">
        <f>O63-P63</f>
        <v>-4.000000050291419E-2</v>
      </c>
    </row>
    <row r="64" spans="1:17" s="1" customFormat="1" ht="12.6" customHeight="1" x14ac:dyDescent="0.25">
      <c r="A64" s="10"/>
      <c r="B64" s="3"/>
      <c r="C64" s="16" t="s">
        <v>38</v>
      </c>
      <c r="D64" s="40">
        <f>6800+87630+3920-8370</f>
        <v>89980</v>
      </c>
      <c r="E64" s="40"/>
      <c r="F64" s="40">
        <f>14700+33180-8000</f>
        <v>39880</v>
      </c>
      <c r="G64" s="40">
        <f>1960+56685+1960-8000</f>
        <v>52605</v>
      </c>
      <c r="H64" s="40"/>
      <c r="I64" s="40">
        <f>1960+34560+4840-8000</f>
        <v>33360</v>
      </c>
      <c r="J64" s="40"/>
      <c r="K64" s="40">
        <f>980+3860</f>
        <v>4840</v>
      </c>
      <c r="L64" s="48"/>
      <c r="M64" s="21">
        <f t="shared" si="6"/>
        <v>220665</v>
      </c>
      <c r="O64" s="29"/>
    </row>
    <row r="65" spans="1:17" s="1" customFormat="1" ht="12.6" customHeight="1" x14ac:dyDescent="0.25">
      <c r="A65" s="10"/>
      <c r="B65" s="3"/>
      <c r="C65" s="16" t="s">
        <v>94</v>
      </c>
      <c r="D65" s="40">
        <f>1000+960+293+7750.8</f>
        <v>10003.799999999999</v>
      </c>
      <c r="E65" s="40"/>
      <c r="F65" s="40">
        <f>900+293+1400</f>
        <v>2593</v>
      </c>
      <c r="G65" s="40">
        <f>293+6250</f>
        <v>6543</v>
      </c>
      <c r="H65" s="40"/>
      <c r="I65" s="40">
        <f>250+550+293+2700+652</f>
        <v>4445</v>
      </c>
      <c r="J65" s="40"/>
      <c r="K65" s="40">
        <v>293</v>
      </c>
      <c r="L65" s="48"/>
      <c r="M65" s="21">
        <f t="shared" si="6"/>
        <v>23877.8</v>
      </c>
      <c r="O65" s="29"/>
    </row>
    <row r="66" spans="1:17" s="1" customFormat="1" ht="12.6" customHeight="1" x14ac:dyDescent="0.25">
      <c r="A66" s="10"/>
      <c r="B66" s="3"/>
      <c r="C66" s="16" t="s">
        <v>58</v>
      </c>
      <c r="D66" s="40">
        <f>105+222+3747.35+481.9+34.4+292.2+709.41+439.27+3163.82+927.9+12852+2689.94+5248+849.45+60992.95+191520+38880+20160+3024</f>
        <v>346339.58999999997</v>
      </c>
      <c r="E66" s="40"/>
      <c r="F66" s="40">
        <f>5592+3084.5+6845.7+2474.5+594+368+239.9</f>
        <v>19198.600000000002</v>
      </c>
      <c r="G66" s="40">
        <f>2860+368+808.34+11786.1+1508.9+34.4+1893.4+359.18+735.33+1050.82+159.8+1039.15+326+11730</f>
        <v>34659.420000000006</v>
      </c>
      <c r="H66" s="40"/>
      <c r="I66" s="40">
        <f>808.3+414+12589.2</f>
        <v>13811.5</v>
      </c>
      <c r="J66" s="40"/>
      <c r="K66" s="40">
        <v>3802</v>
      </c>
      <c r="L66" s="48"/>
      <c r="M66" s="21">
        <f t="shared" si="6"/>
        <v>417811.10999999993</v>
      </c>
    </row>
    <row r="67" spans="1:17" s="1" customFormat="1" ht="12.6" customHeight="1" x14ac:dyDescent="0.25">
      <c r="A67" s="10"/>
      <c r="B67" s="3"/>
      <c r="C67" s="16" t="s">
        <v>90</v>
      </c>
      <c r="D67" s="40">
        <v>89125.2</v>
      </c>
      <c r="E67" s="40"/>
      <c r="F67" s="40">
        <v>377739</v>
      </c>
      <c r="G67" s="40">
        <f>578663.53</f>
        <v>578663.53</v>
      </c>
      <c r="H67" s="40"/>
      <c r="I67" s="40">
        <v>109160</v>
      </c>
      <c r="J67" s="40"/>
      <c r="K67" s="40">
        <v>25800</v>
      </c>
      <c r="L67" s="48"/>
      <c r="M67" s="21">
        <f t="shared" si="6"/>
        <v>1180487.73</v>
      </c>
    </row>
    <row r="68" spans="1:17" s="1" customFormat="1" ht="12.6" customHeight="1" x14ac:dyDescent="0.25">
      <c r="A68" s="10"/>
      <c r="B68" s="3"/>
      <c r="C68" s="16" t="s">
        <v>83</v>
      </c>
      <c r="D68" s="40">
        <f>51.26+3515-5.54</f>
        <v>3560.7200000000003</v>
      </c>
      <c r="E68" s="40"/>
      <c r="F68" s="40">
        <f>3515+45.5</f>
        <v>3560.5</v>
      </c>
      <c r="G68" s="40">
        <f>3515+45.5</f>
        <v>3560.5</v>
      </c>
      <c r="H68" s="40"/>
      <c r="I68" s="40">
        <f>3515+45.5</f>
        <v>3560.5</v>
      </c>
      <c r="J68" s="40"/>
      <c r="K68" s="40">
        <v>3560.5</v>
      </c>
      <c r="L68" s="48"/>
      <c r="M68" s="21">
        <f t="shared" si="6"/>
        <v>17802.72</v>
      </c>
      <c r="O68" s="29"/>
    </row>
    <row r="69" spans="1:17" s="1" customFormat="1" ht="12.6" customHeight="1" x14ac:dyDescent="0.25">
      <c r="A69" s="10"/>
      <c r="B69" s="3"/>
      <c r="C69" s="16" t="s">
        <v>80</v>
      </c>
      <c r="D69" s="40">
        <f>3975+6000-1000</f>
        <v>8975</v>
      </c>
      <c r="E69" s="40"/>
      <c r="F69" s="40">
        <f>239+3761+1000</f>
        <v>5000</v>
      </c>
      <c r="G69" s="40">
        <v>4000</v>
      </c>
      <c r="H69" s="40"/>
      <c r="I69" s="40">
        <v>5000</v>
      </c>
      <c r="J69" s="40"/>
      <c r="K69" s="40">
        <v>4000</v>
      </c>
      <c r="L69" s="48"/>
      <c r="M69" s="21">
        <f t="shared" si="6"/>
        <v>26975</v>
      </c>
      <c r="O69" s="29"/>
    </row>
    <row r="70" spans="1:17" s="1" customFormat="1" ht="12.6" customHeight="1" x14ac:dyDescent="0.25">
      <c r="A70" s="10"/>
      <c r="B70" s="3"/>
      <c r="C70" s="16" t="s">
        <v>119</v>
      </c>
      <c r="D70" s="40">
        <f>1537+2300</f>
        <v>3837</v>
      </c>
      <c r="E70" s="40"/>
      <c r="F70" s="40"/>
      <c r="G70" s="40"/>
      <c r="H70" s="40"/>
      <c r="I70" s="40"/>
      <c r="J70" s="40"/>
      <c r="K70" s="40"/>
      <c r="L70" s="48"/>
      <c r="M70" s="21">
        <f t="shared" si="6"/>
        <v>3837</v>
      </c>
      <c r="O70" s="29"/>
    </row>
    <row r="71" spans="1:17" s="1" customFormat="1" ht="12.6" customHeight="1" x14ac:dyDescent="0.25">
      <c r="A71" s="10"/>
      <c r="B71" s="3"/>
      <c r="C71" s="16" t="s">
        <v>88</v>
      </c>
      <c r="D71" s="40"/>
      <c r="E71" s="40"/>
      <c r="F71" s="40">
        <f>16000+4000+4000</f>
        <v>24000</v>
      </c>
      <c r="G71" s="40">
        <f>20000</f>
        <v>20000</v>
      </c>
      <c r="H71" s="40"/>
      <c r="I71" s="40"/>
      <c r="J71" s="40"/>
      <c r="K71" s="40">
        <v>4000</v>
      </c>
      <c r="L71" s="48"/>
      <c r="M71" s="21">
        <f t="shared" si="6"/>
        <v>48000</v>
      </c>
      <c r="O71" s="29"/>
    </row>
    <row r="72" spans="1:17" s="1" customFormat="1" ht="12.6" customHeight="1" x14ac:dyDescent="0.25">
      <c r="A72" s="10"/>
      <c r="B72" s="3"/>
      <c r="C72" s="16" t="s">
        <v>77</v>
      </c>
      <c r="D72" s="40">
        <v>4000</v>
      </c>
      <c r="E72" s="40"/>
      <c r="F72" s="40"/>
      <c r="G72" s="40">
        <v>3135</v>
      </c>
      <c r="H72" s="40"/>
      <c r="I72" s="40">
        <v>2999.7</v>
      </c>
      <c r="J72" s="40"/>
      <c r="K72" s="40"/>
      <c r="L72" s="48"/>
      <c r="M72" s="21">
        <f t="shared" si="6"/>
        <v>10134.700000000001</v>
      </c>
    </row>
    <row r="73" spans="1:17" s="1" customFormat="1" ht="12.6" customHeight="1" x14ac:dyDescent="0.25">
      <c r="A73" s="10"/>
      <c r="B73" s="3"/>
      <c r="C73" s="16" t="s">
        <v>87</v>
      </c>
      <c r="D73" s="40">
        <v>2400</v>
      </c>
      <c r="E73" s="40"/>
      <c r="F73" s="40"/>
      <c r="G73" s="40">
        <v>1200</v>
      </c>
      <c r="H73" s="40"/>
      <c r="I73" s="40">
        <v>1200</v>
      </c>
      <c r="J73" s="40"/>
      <c r="K73" s="40"/>
      <c r="L73" s="48"/>
      <c r="M73" s="21">
        <f t="shared" si="6"/>
        <v>4800</v>
      </c>
    </row>
    <row r="74" spans="1:17" s="1" customFormat="1" ht="12.6" customHeight="1" x14ac:dyDescent="0.25">
      <c r="A74" s="10"/>
      <c r="B74" s="3"/>
      <c r="C74" s="16" t="s">
        <v>95</v>
      </c>
      <c r="D74" s="40">
        <v>17560</v>
      </c>
      <c r="E74" s="40"/>
      <c r="F74" s="40"/>
      <c r="G74" s="40"/>
      <c r="H74" s="40"/>
      <c r="I74" s="40"/>
      <c r="J74" s="40"/>
      <c r="K74" s="40"/>
      <c r="L74" s="48"/>
      <c r="M74" s="21">
        <f t="shared" si="6"/>
        <v>17560</v>
      </c>
    </row>
    <row r="75" spans="1:17" s="1" customFormat="1" ht="12.6" customHeight="1" x14ac:dyDescent="0.25">
      <c r="A75" s="10"/>
      <c r="B75" s="3"/>
      <c r="C75" s="16" t="s">
        <v>92</v>
      </c>
      <c r="D75" s="40">
        <f>20352+2067</f>
        <v>22419</v>
      </c>
      <c r="E75" s="40"/>
      <c r="F75" s="40">
        <v>10812</v>
      </c>
      <c r="G75" s="40">
        <f>12402+3975</f>
        <v>16377</v>
      </c>
      <c r="H75" s="40"/>
      <c r="I75" s="40">
        <v>12402</v>
      </c>
      <c r="J75" s="40"/>
      <c r="K75" s="40">
        <v>2226</v>
      </c>
      <c r="L75" s="48"/>
      <c r="M75" s="21">
        <f t="shared" si="6"/>
        <v>64236</v>
      </c>
    </row>
    <row r="76" spans="1:17" s="1" customFormat="1" ht="12.6" customHeight="1" x14ac:dyDescent="0.25">
      <c r="A76" s="10"/>
      <c r="B76" s="3"/>
      <c r="C76" s="16" t="s">
        <v>86</v>
      </c>
      <c r="D76" s="40">
        <f>415+2385</f>
        <v>2800</v>
      </c>
      <c r="E76" s="40"/>
      <c r="F76" s="40">
        <v>2800</v>
      </c>
      <c r="G76" s="40">
        <v>2800</v>
      </c>
      <c r="H76" s="40"/>
      <c r="I76" s="40">
        <v>2800</v>
      </c>
      <c r="J76" s="40"/>
      <c r="K76" s="40">
        <v>2800</v>
      </c>
      <c r="L76" s="48"/>
      <c r="M76" s="21">
        <f>SUM(D76:L76)</f>
        <v>14000</v>
      </c>
    </row>
    <row r="77" spans="1:17" s="1" customFormat="1" ht="12.6" customHeight="1" x14ac:dyDescent="0.25">
      <c r="A77" s="10"/>
      <c r="B77" s="3"/>
      <c r="C77" s="16" t="s">
        <v>57</v>
      </c>
      <c r="D77" s="40">
        <v>740</v>
      </c>
      <c r="E77" s="40"/>
      <c r="F77" s="40">
        <v>740</v>
      </c>
      <c r="G77" s="40">
        <v>740</v>
      </c>
      <c r="H77" s="40"/>
      <c r="I77" s="40">
        <v>1480</v>
      </c>
      <c r="J77" s="40"/>
      <c r="K77" s="40">
        <v>740</v>
      </c>
      <c r="L77" s="48"/>
      <c r="M77" s="21">
        <f>SUM(D77:L77)</f>
        <v>4440</v>
      </c>
    </row>
    <row r="78" spans="1:17" s="1" customFormat="1" ht="26.25" customHeight="1" x14ac:dyDescent="0.25">
      <c r="A78" s="10"/>
      <c r="B78" s="3"/>
      <c r="C78" s="18" t="s">
        <v>39</v>
      </c>
      <c r="D78" s="40">
        <v>4800</v>
      </c>
      <c r="E78" s="40"/>
      <c r="F78" s="40">
        <v>4800</v>
      </c>
      <c r="G78" s="40">
        <v>4880</v>
      </c>
      <c r="H78" s="40"/>
      <c r="I78" s="40">
        <v>4800</v>
      </c>
      <c r="J78" s="40"/>
      <c r="K78" s="40">
        <v>4800</v>
      </c>
      <c r="L78" s="48"/>
      <c r="M78" s="21">
        <f t="shared" si="6"/>
        <v>24080</v>
      </c>
      <c r="O78" s="29">
        <f>SUM(M78:M100)</f>
        <v>1803798.1500000001</v>
      </c>
      <c r="P78" s="1">
        <v>1803798.12</v>
      </c>
      <c r="Q78" s="29">
        <f>O78-P78</f>
        <v>3.0000000027939677E-2</v>
      </c>
    </row>
    <row r="79" spans="1:17" s="1" customFormat="1" x14ac:dyDescent="0.25">
      <c r="A79" s="10"/>
      <c r="B79" s="3"/>
      <c r="C79" s="18" t="s">
        <v>69</v>
      </c>
      <c r="D79" s="40">
        <v>2673.6</v>
      </c>
      <c r="E79" s="40"/>
      <c r="F79" s="40"/>
      <c r="G79" s="40"/>
      <c r="H79" s="40"/>
      <c r="I79" s="40"/>
      <c r="J79" s="40"/>
      <c r="K79" s="40"/>
      <c r="L79" s="48"/>
      <c r="M79" s="21">
        <f t="shared" si="6"/>
        <v>2673.6</v>
      </c>
      <c r="O79" s="29"/>
    </row>
    <row r="80" spans="1:17" s="1" customFormat="1" x14ac:dyDescent="0.25">
      <c r="A80" s="10"/>
      <c r="B80" s="3"/>
      <c r="C80" s="18" t="s">
        <v>85</v>
      </c>
      <c r="D80" s="40">
        <f>1753.21+1753.21+1753.21+1753.21</f>
        <v>7012.84</v>
      </c>
      <c r="E80" s="40"/>
      <c r="F80" s="40">
        <v>7012.84</v>
      </c>
      <c r="G80" s="40">
        <v>7012.84</v>
      </c>
      <c r="H80" s="40"/>
      <c r="I80" s="40">
        <v>7012.84</v>
      </c>
      <c r="J80" s="40"/>
      <c r="K80" s="40">
        <v>7012.84</v>
      </c>
      <c r="L80" s="48"/>
      <c r="M80" s="21">
        <f t="shared" si="6"/>
        <v>35064.199999999997</v>
      </c>
      <c r="O80" s="29"/>
    </row>
    <row r="81" spans="1:13" s="1" customFormat="1" ht="12.6" customHeight="1" x14ac:dyDescent="0.25">
      <c r="A81" s="10"/>
      <c r="B81" s="3"/>
      <c r="C81" s="16" t="s">
        <v>32</v>
      </c>
      <c r="D81" s="40">
        <f>5040+10115+100</f>
        <v>15255</v>
      </c>
      <c r="E81" s="40"/>
      <c r="F81" s="40">
        <v>4900</v>
      </c>
      <c r="G81" s="40">
        <v>4900</v>
      </c>
      <c r="H81" s="40"/>
      <c r="I81" s="40">
        <f>5040+100</f>
        <v>5140</v>
      </c>
      <c r="J81" s="40"/>
      <c r="K81" s="40">
        <v>5140</v>
      </c>
      <c r="L81" s="48"/>
      <c r="M81" s="21">
        <f t="shared" si="6"/>
        <v>35335</v>
      </c>
    </row>
    <row r="82" spans="1:13" s="1" customFormat="1" ht="12.6" customHeight="1" x14ac:dyDescent="0.25">
      <c r="A82" s="10"/>
      <c r="B82" s="3"/>
      <c r="C82" s="16" t="s">
        <v>65</v>
      </c>
      <c r="D82" s="40">
        <f>2400+75+6030+100</f>
        <v>8605</v>
      </c>
      <c r="E82" s="40"/>
      <c r="F82" s="40">
        <v>6700</v>
      </c>
      <c r="G82" s="40">
        <f>5460+944</f>
        <v>6404</v>
      </c>
      <c r="H82" s="40"/>
      <c r="I82" s="40">
        <f>3340+840</f>
        <v>4180</v>
      </c>
      <c r="J82" s="40"/>
      <c r="K82" s="40">
        <v>2500</v>
      </c>
      <c r="L82" s="48"/>
      <c r="M82" s="21">
        <f t="shared" si="6"/>
        <v>28389</v>
      </c>
    </row>
    <row r="83" spans="1:13" s="1" customFormat="1" ht="12.6" customHeight="1" x14ac:dyDescent="0.25">
      <c r="A83" s="10"/>
      <c r="B83" s="3"/>
      <c r="C83" s="16" t="s">
        <v>55</v>
      </c>
      <c r="D83" s="40">
        <v>1000</v>
      </c>
      <c r="E83" s="40"/>
      <c r="F83" s="40">
        <v>1000</v>
      </c>
      <c r="G83" s="40">
        <v>1000</v>
      </c>
      <c r="H83" s="40"/>
      <c r="I83" s="40">
        <v>1000</v>
      </c>
      <c r="J83" s="40"/>
      <c r="K83" s="40">
        <v>1000</v>
      </c>
      <c r="L83" s="48"/>
      <c r="M83" s="21">
        <f t="shared" si="6"/>
        <v>5000</v>
      </c>
    </row>
    <row r="84" spans="1:13" s="1" customFormat="1" ht="12.6" customHeight="1" x14ac:dyDescent="0.25">
      <c r="A84" s="10"/>
      <c r="B84" s="3"/>
      <c r="C84" s="16" t="s">
        <v>56</v>
      </c>
      <c r="D84" s="40">
        <f>6500+1200+1200+1200+1200</f>
        <v>11300</v>
      </c>
      <c r="E84" s="40"/>
      <c r="F84" s="40">
        <v>1200</v>
      </c>
      <c r="G84" s="40">
        <v>1200</v>
      </c>
      <c r="H84" s="40"/>
      <c r="I84" s="40">
        <v>1200</v>
      </c>
      <c r="J84" s="40"/>
      <c r="K84" s="40"/>
      <c r="L84" s="48"/>
      <c r="M84" s="21">
        <f t="shared" si="6"/>
        <v>14900</v>
      </c>
    </row>
    <row r="85" spans="1:13" s="1" customFormat="1" ht="30" x14ac:dyDescent="0.25">
      <c r="A85" s="10"/>
      <c r="B85" s="3"/>
      <c r="C85" s="18" t="s">
        <v>60</v>
      </c>
      <c r="D85" s="40">
        <f>2554+2958</f>
        <v>5512</v>
      </c>
      <c r="E85" s="40"/>
      <c r="F85" s="40">
        <v>1234</v>
      </c>
      <c r="G85" s="40">
        <v>1385</v>
      </c>
      <c r="H85" s="40"/>
      <c r="I85" s="40">
        <v>807</v>
      </c>
      <c r="J85" s="40"/>
      <c r="K85" s="40"/>
      <c r="L85" s="48"/>
      <c r="M85" s="21">
        <f t="shared" si="6"/>
        <v>8938</v>
      </c>
    </row>
    <row r="86" spans="1:13" s="1" customFormat="1" x14ac:dyDescent="0.25">
      <c r="A86" s="10"/>
      <c r="B86" s="3"/>
      <c r="C86" s="18" t="s">
        <v>78</v>
      </c>
      <c r="D86" s="40">
        <f>153+153</f>
        <v>306</v>
      </c>
      <c r="E86" s="40"/>
      <c r="F86" s="40"/>
      <c r="G86" s="40">
        <v>102</v>
      </c>
      <c r="H86" s="40"/>
      <c r="I86" s="40">
        <v>153</v>
      </c>
      <c r="J86" s="40"/>
      <c r="K86" s="40"/>
      <c r="L86" s="48"/>
      <c r="M86" s="21">
        <f t="shared" si="6"/>
        <v>561</v>
      </c>
    </row>
    <row r="87" spans="1:13" s="1" customFormat="1" ht="12.6" customHeight="1" x14ac:dyDescent="0.25">
      <c r="A87" s="10"/>
      <c r="B87" s="3"/>
      <c r="C87" s="16" t="s">
        <v>124</v>
      </c>
      <c r="D87" s="40"/>
      <c r="E87" s="40"/>
      <c r="F87" s="40"/>
      <c r="G87" s="40">
        <v>43970.26</v>
      </c>
      <c r="H87" s="40"/>
      <c r="I87" s="40"/>
      <c r="J87" s="40"/>
      <c r="K87" s="40"/>
      <c r="L87" s="48"/>
      <c r="M87" s="21">
        <f t="shared" si="6"/>
        <v>43970.26</v>
      </c>
    </row>
    <row r="88" spans="1:13" s="1" customFormat="1" ht="12.6" customHeight="1" x14ac:dyDescent="0.25">
      <c r="A88" s="10"/>
      <c r="B88" s="3"/>
      <c r="C88" s="16" t="s">
        <v>84</v>
      </c>
      <c r="D88" s="40">
        <v>2020</v>
      </c>
      <c r="E88" s="40"/>
      <c r="F88" s="40">
        <v>2000</v>
      </c>
      <c r="G88" s="40">
        <v>2000</v>
      </c>
      <c r="H88" s="40"/>
      <c r="I88" s="40">
        <v>2000</v>
      </c>
      <c r="J88" s="40"/>
      <c r="K88" s="40">
        <v>2000</v>
      </c>
      <c r="L88" s="48"/>
      <c r="M88" s="21">
        <f t="shared" si="6"/>
        <v>10020</v>
      </c>
    </row>
    <row r="89" spans="1:13" s="1" customFormat="1" ht="12.6" customHeight="1" x14ac:dyDescent="0.25">
      <c r="A89" s="10"/>
      <c r="B89" s="3"/>
      <c r="C89" s="16" t="s">
        <v>76</v>
      </c>
      <c r="D89" s="40">
        <f>6800+16120+8780+29780+5000</f>
        <v>66480</v>
      </c>
      <c r="E89" s="40"/>
      <c r="F89" s="40">
        <f>3400+20510+3023.2</f>
        <v>26933.200000000001</v>
      </c>
      <c r="G89" s="40">
        <f>1080+780+7200+7820+7300+5000</f>
        <v>29180</v>
      </c>
      <c r="H89" s="40"/>
      <c r="I89" s="40">
        <f>3200+2620+54630</f>
        <v>60450</v>
      </c>
      <c r="J89" s="40"/>
      <c r="K89" s="40"/>
      <c r="L89" s="48"/>
      <c r="M89" s="21">
        <f t="shared" si="6"/>
        <v>183043.20000000001</v>
      </c>
    </row>
    <row r="90" spans="1:13" s="1" customFormat="1" ht="12.6" customHeight="1" x14ac:dyDescent="0.25">
      <c r="A90" s="10"/>
      <c r="B90" s="3"/>
      <c r="C90" s="16" t="s">
        <v>120</v>
      </c>
      <c r="D90" s="40">
        <f>17158.54+22171.51</f>
        <v>39330.050000000003</v>
      </c>
      <c r="E90" s="40"/>
      <c r="F90" s="40">
        <f>45145.2+30568.86</f>
        <v>75714.06</v>
      </c>
      <c r="G90" s="40">
        <v>16626.259999999998</v>
      </c>
      <c r="H90" s="40"/>
      <c r="I90" s="40">
        <f>8231.78+30674.13</f>
        <v>38905.910000000003</v>
      </c>
      <c r="J90" s="40"/>
      <c r="K90" s="40"/>
      <c r="L90" s="48"/>
      <c r="M90" s="21">
        <f t="shared" si="6"/>
        <v>170576.28</v>
      </c>
    </row>
    <row r="91" spans="1:13" s="1" customFormat="1" ht="30" x14ac:dyDescent="0.25">
      <c r="A91" s="10"/>
      <c r="B91" s="3"/>
      <c r="C91" s="18" t="s">
        <v>114</v>
      </c>
      <c r="D91" s="40">
        <v>34900</v>
      </c>
      <c r="E91" s="40"/>
      <c r="F91" s="40"/>
      <c r="G91" s="40"/>
      <c r="H91" s="40"/>
      <c r="I91" s="40"/>
      <c r="J91" s="40"/>
      <c r="K91" s="40">
        <v>257099.81</v>
      </c>
      <c r="L91" s="48"/>
      <c r="M91" s="21">
        <f t="shared" si="6"/>
        <v>291999.81</v>
      </c>
    </row>
    <row r="92" spans="1:13" s="1" customFormat="1" x14ac:dyDescent="0.25">
      <c r="A92" s="10"/>
      <c r="B92" s="3"/>
      <c r="C92" s="18" t="s">
        <v>115</v>
      </c>
      <c r="D92" s="40"/>
      <c r="E92" s="40"/>
      <c r="F92" s="40">
        <v>70159.48</v>
      </c>
      <c r="G92" s="40"/>
      <c r="H92" s="40"/>
      <c r="I92" s="40">
        <v>70159.48</v>
      </c>
      <c r="J92" s="40"/>
      <c r="K92" s="40">
        <v>19620.310000000001</v>
      </c>
      <c r="L92" s="48"/>
      <c r="M92" s="21">
        <f>SUM(D92:L92)</f>
        <v>159939.26999999999</v>
      </c>
    </row>
    <row r="93" spans="1:13" s="1" customFormat="1" x14ac:dyDescent="0.25">
      <c r="A93" s="10"/>
      <c r="B93" s="3"/>
      <c r="C93" s="18" t="s">
        <v>122</v>
      </c>
      <c r="D93" s="40">
        <f>163483.79+18035.18</f>
        <v>181518.97</v>
      </c>
      <c r="E93" s="40"/>
      <c r="F93" s="40"/>
      <c r="G93" s="40"/>
      <c r="H93" s="40"/>
      <c r="I93" s="40"/>
      <c r="J93" s="40"/>
      <c r="K93" s="40"/>
      <c r="L93" s="48"/>
      <c r="M93" s="21">
        <f t="shared" si="6"/>
        <v>181518.97</v>
      </c>
    </row>
    <row r="94" spans="1:13" s="1" customFormat="1" x14ac:dyDescent="0.25">
      <c r="A94" s="10"/>
      <c r="B94" s="3"/>
      <c r="C94" s="18" t="s">
        <v>123</v>
      </c>
      <c r="D94" s="40">
        <v>36507.79</v>
      </c>
      <c r="E94" s="40"/>
      <c r="F94" s="40"/>
      <c r="G94" s="40"/>
      <c r="H94" s="40"/>
      <c r="I94" s="40"/>
      <c r="J94" s="40"/>
      <c r="K94" s="40"/>
      <c r="L94" s="48"/>
      <c r="M94" s="21">
        <f t="shared" si="6"/>
        <v>36507.79</v>
      </c>
    </row>
    <row r="95" spans="1:13" s="1" customFormat="1" x14ac:dyDescent="0.25">
      <c r="A95" s="10"/>
      <c r="B95" s="3"/>
      <c r="C95" s="18" t="s">
        <v>121</v>
      </c>
      <c r="D95" s="40"/>
      <c r="E95" s="40"/>
      <c r="F95" s="40">
        <v>298424.26</v>
      </c>
      <c r="G95" s="40"/>
      <c r="H95" s="40"/>
      <c r="I95" s="40"/>
      <c r="J95" s="40"/>
      <c r="K95" s="40"/>
      <c r="L95" s="48"/>
      <c r="M95" s="21">
        <f t="shared" si="6"/>
        <v>298424.26</v>
      </c>
    </row>
    <row r="96" spans="1:13" s="1" customFormat="1" x14ac:dyDescent="0.25">
      <c r="A96" s="10"/>
      <c r="B96" s="3"/>
      <c r="C96" s="18" t="s">
        <v>66</v>
      </c>
      <c r="D96" s="40"/>
      <c r="E96" s="40"/>
      <c r="F96" s="40"/>
      <c r="G96" s="40">
        <v>2213.33</v>
      </c>
      <c r="H96" s="40"/>
      <c r="I96" s="40"/>
      <c r="J96" s="40"/>
      <c r="K96" s="40">
        <v>3760</v>
      </c>
      <c r="L96" s="48"/>
      <c r="M96" s="21">
        <f t="shared" si="6"/>
        <v>5973.33</v>
      </c>
    </row>
    <row r="97" spans="1:15" s="1" customFormat="1" x14ac:dyDescent="0.25">
      <c r="A97" s="10"/>
      <c r="B97" s="3"/>
      <c r="C97" s="18" t="s">
        <v>75</v>
      </c>
      <c r="D97" s="40">
        <v>7168.32</v>
      </c>
      <c r="E97" s="40"/>
      <c r="F97" s="40">
        <v>7168.32</v>
      </c>
      <c r="G97" s="40">
        <v>7168.32</v>
      </c>
      <c r="H97" s="40"/>
      <c r="I97" s="40">
        <v>7168.32</v>
      </c>
      <c r="J97" s="40"/>
      <c r="K97" s="40">
        <v>7168.32</v>
      </c>
      <c r="L97" s="48"/>
      <c r="M97" s="21">
        <f t="shared" si="6"/>
        <v>35841.599999999999</v>
      </c>
    </row>
    <row r="98" spans="1:15" s="1" customFormat="1" x14ac:dyDescent="0.25">
      <c r="A98" s="10"/>
      <c r="B98" s="3"/>
      <c r="C98" s="18" t="s">
        <v>96</v>
      </c>
      <c r="D98" s="40"/>
      <c r="E98" s="40"/>
      <c r="F98" s="40">
        <f>16940+48180</f>
        <v>65120</v>
      </c>
      <c r="G98" s="40">
        <v>65340</v>
      </c>
      <c r="H98" s="40"/>
      <c r="I98" s="40">
        <v>57860</v>
      </c>
      <c r="J98" s="40"/>
      <c r="K98" s="40"/>
      <c r="L98" s="48"/>
      <c r="M98" s="21">
        <f t="shared" si="6"/>
        <v>188320</v>
      </c>
    </row>
    <row r="99" spans="1:15" s="1" customFormat="1" x14ac:dyDescent="0.25">
      <c r="A99" s="10"/>
      <c r="B99" s="3"/>
      <c r="C99" s="18" t="s">
        <v>71</v>
      </c>
      <c r="D99" s="40">
        <v>2604</v>
      </c>
      <c r="E99" s="40"/>
      <c r="F99" s="40">
        <v>331</v>
      </c>
      <c r="G99" s="40"/>
      <c r="H99" s="40"/>
      <c r="I99" s="40">
        <v>2074.38</v>
      </c>
      <c r="J99" s="40"/>
      <c r="K99" s="40">
        <v>694</v>
      </c>
      <c r="L99" s="48"/>
      <c r="M99" s="21">
        <f>SUM(D99:L99)</f>
        <v>5703.38</v>
      </c>
    </row>
    <row r="100" spans="1:15" s="1" customFormat="1" ht="16.5" customHeight="1" x14ac:dyDescent="0.25">
      <c r="A100" s="10"/>
      <c r="B100" s="3"/>
      <c r="C100" s="18" t="s">
        <v>117</v>
      </c>
      <c r="D100" s="40">
        <f>7103.84+300</f>
        <v>7403.84</v>
      </c>
      <c r="E100" s="40"/>
      <c r="F100" s="40">
        <v>7403.84</v>
      </c>
      <c r="G100" s="40">
        <v>7403.84</v>
      </c>
      <c r="H100" s="40"/>
      <c r="I100" s="40">
        <v>7403.84</v>
      </c>
      <c r="J100" s="40"/>
      <c r="K100" s="40">
        <v>7403.84</v>
      </c>
      <c r="L100" s="48"/>
      <c r="M100" s="21">
        <f t="shared" si="6"/>
        <v>37019.199999999997</v>
      </c>
    </row>
    <row r="101" spans="1:15" s="1" customFormat="1" ht="12.6" customHeight="1" x14ac:dyDescent="0.25">
      <c r="A101" s="10"/>
      <c r="B101" s="3"/>
      <c r="C101" s="16" t="s">
        <v>33</v>
      </c>
      <c r="D101" s="46">
        <v>192080.4</v>
      </c>
      <c r="E101" s="46"/>
      <c r="F101" s="46">
        <v>57631.199999999997</v>
      </c>
      <c r="G101" s="46">
        <f>243537.84-26075.06</f>
        <v>217462.78</v>
      </c>
      <c r="H101" s="46"/>
      <c r="I101" s="46">
        <v>197978.04</v>
      </c>
      <c r="J101" s="40"/>
      <c r="K101" s="40">
        <v>13037.54</v>
      </c>
      <c r="L101" s="48"/>
      <c r="M101" s="21">
        <f t="shared" si="6"/>
        <v>678189.96000000008</v>
      </c>
    </row>
    <row r="102" spans="1:15" s="1" customFormat="1" ht="12.6" customHeight="1" x14ac:dyDescent="0.25">
      <c r="A102" s="10"/>
      <c r="B102" s="3"/>
      <c r="C102" s="16" t="s">
        <v>34</v>
      </c>
      <c r="D102" s="46">
        <v>416.35</v>
      </c>
      <c r="E102" s="49"/>
      <c r="F102" s="49"/>
      <c r="G102" s="49"/>
      <c r="H102" s="49"/>
      <c r="I102" s="49"/>
      <c r="J102" s="40"/>
      <c r="K102" s="40"/>
      <c r="L102" s="48"/>
      <c r="M102" s="21">
        <f t="shared" si="6"/>
        <v>416.35</v>
      </c>
    </row>
    <row r="103" spans="1:15" s="1" customFormat="1" ht="12.6" customHeight="1" x14ac:dyDescent="0.25">
      <c r="A103" s="10"/>
      <c r="B103" s="3"/>
      <c r="C103" s="16" t="s">
        <v>89</v>
      </c>
      <c r="D103" s="46"/>
      <c r="E103" s="46"/>
      <c r="F103" s="46">
        <v>268016.40000000002</v>
      </c>
      <c r="G103" s="46">
        <v>356400</v>
      </c>
      <c r="H103" s="49"/>
      <c r="I103" s="46">
        <v>308032.8</v>
      </c>
      <c r="J103" s="40"/>
      <c r="K103" s="40">
        <v>90591.6</v>
      </c>
      <c r="L103" s="48"/>
      <c r="M103" s="21">
        <f t="shared" si="6"/>
        <v>1023040.7999999999</v>
      </c>
    </row>
    <row r="104" spans="1:15" s="1" customFormat="1" ht="12.6" customHeight="1" x14ac:dyDescent="0.25">
      <c r="A104" s="10"/>
      <c r="B104" s="3"/>
      <c r="C104" s="16" t="s">
        <v>62</v>
      </c>
      <c r="D104" s="46">
        <v>778272</v>
      </c>
      <c r="E104" s="47"/>
      <c r="F104" s="47"/>
      <c r="G104" s="47"/>
      <c r="H104" s="49"/>
      <c r="I104" s="47"/>
      <c r="J104" s="40"/>
      <c r="K104" s="40"/>
      <c r="L104" s="48"/>
      <c r="M104" s="21">
        <f t="shared" si="6"/>
        <v>778272</v>
      </c>
    </row>
    <row r="105" spans="1:15" s="1" customFormat="1" ht="12.6" customHeight="1" x14ac:dyDescent="0.25">
      <c r="A105" s="10"/>
      <c r="B105" s="3"/>
      <c r="C105" s="3" t="s">
        <v>35</v>
      </c>
      <c r="D105" s="40"/>
      <c r="E105" s="40"/>
      <c r="F105" s="40"/>
      <c r="G105" s="40"/>
      <c r="H105" s="40"/>
      <c r="I105" s="40"/>
      <c r="J105" s="40"/>
      <c r="K105" s="40"/>
      <c r="L105" s="48"/>
      <c r="M105" s="21">
        <f t="shared" si="6"/>
        <v>0</v>
      </c>
    </row>
    <row r="106" spans="1:15" s="1" customFormat="1" ht="12.6" customHeight="1" x14ac:dyDescent="0.25">
      <c r="A106" s="10"/>
      <c r="B106" s="3"/>
      <c r="C106" s="17" t="s">
        <v>30</v>
      </c>
      <c r="D106" s="47">
        <v>28732.240000000002</v>
      </c>
      <c r="E106" s="47"/>
      <c r="F106" s="47">
        <v>24719.279999999999</v>
      </c>
      <c r="G106" s="47">
        <v>9776.44</v>
      </c>
      <c r="H106" s="49"/>
      <c r="I106" s="47">
        <v>23262.3</v>
      </c>
      <c r="J106" s="40"/>
      <c r="K106" s="40">
        <v>3770.85</v>
      </c>
      <c r="L106" s="48"/>
      <c r="M106" s="21">
        <f>SUM(D106:L106)</f>
        <v>90261.110000000015</v>
      </c>
    </row>
    <row r="107" spans="1:15" s="1" customFormat="1" ht="12.6" customHeight="1" x14ac:dyDescent="0.25">
      <c r="A107" s="10"/>
      <c r="B107" s="3"/>
      <c r="C107" s="3" t="s">
        <v>47</v>
      </c>
      <c r="D107" s="47"/>
      <c r="E107" s="47"/>
      <c r="F107" s="47"/>
      <c r="G107" s="47"/>
      <c r="H107" s="49"/>
      <c r="I107" s="47"/>
      <c r="J107" s="40"/>
      <c r="K107" s="40"/>
      <c r="L107" s="48"/>
      <c r="M107" s="21">
        <f t="shared" ref="M107:M120" si="7">SUM(D107:L107)</f>
        <v>0</v>
      </c>
      <c r="O107" s="29">
        <f>SUM(M108:M111)</f>
        <v>341252.6</v>
      </c>
    </row>
    <row r="108" spans="1:15" s="1" customFormat="1" ht="12.6" customHeight="1" x14ac:dyDescent="0.25">
      <c r="A108" s="10"/>
      <c r="B108" s="3"/>
      <c r="C108" s="17" t="s">
        <v>118</v>
      </c>
      <c r="D108" s="47">
        <v>61980</v>
      </c>
      <c r="E108" s="47"/>
      <c r="F108" s="47">
        <v>61980</v>
      </c>
      <c r="G108" s="47"/>
      <c r="H108" s="49"/>
      <c r="I108" s="47">
        <v>61980</v>
      </c>
      <c r="J108" s="40"/>
      <c r="K108" s="40"/>
      <c r="L108" s="48"/>
      <c r="M108" s="21">
        <f t="shared" si="7"/>
        <v>185940</v>
      </c>
    </row>
    <row r="109" spans="1:15" s="1" customFormat="1" ht="27.75" customHeight="1" x14ac:dyDescent="0.25">
      <c r="A109" s="10"/>
      <c r="B109" s="3"/>
      <c r="C109" s="55" t="s">
        <v>125</v>
      </c>
      <c r="D109" s="47"/>
      <c r="E109" s="47"/>
      <c r="F109" s="47">
        <v>49945.3</v>
      </c>
      <c r="G109" s="47"/>
      <c r="H109" s="49"/>
      <c r="I109" s="47">
        <v>49945.3</v>
      </c>
      <c r="J109" s="40"/>
      <c r="K109" s="40"/>
      <c r="L109" s="48"/>
      <c r="M109" s="21">
        <f t="shared" si="7"/>
        <v>99890.6</v>
      </c>
    </row>
    <row r="110" spans="1:15" s="1" customFormat="1" ht="65.25" customHeight="1" x14ac:dyDescent="0.25">
      <c r="A110" s="10"/>
      <c r="B110" s="3"/>
      <c r="C110" s="15" t="s">
        <v>130</v>
      </c>
      <c r="D110" s="40">
        <v>49500</v>
      </c>
      <c r="E110" s="47"/>
      <c r="F110" s="47"/>
      <c r="G110" s="47"/>
      <c r="H110" s="49"/>
      <c r="I110" s="47"/>
      <c r="J110" s="40"/>
      <c r="K110" s="40"/>
      <c r="L110" s="48"/>
      <c r="M110" s="21">
        <f t="shared" si="7"/>
        <v>49500</v>
      </c>
    </row>
    <row r="111" spans="1:15" s="1" customFormat="1" ht="41.25" customHeight="1" x14ac:dyDescent="0.25">
      <c r="A111" s="10"/>
      <c r="B111" s="3"/>
      <c r="C111" s="15" t="s">
        <v>131</v>
      </c>
      <c r="D111" s="40">
        <v>5922</v>
      </c>
      <c r="E111" s="47"/>
      <c r="F111" s="47"/>
      <c r="G111" s="47"/>
      <c r="H111" s="49"/>
      <c r="I111" s="47"/>
      <c r="J111" s="40"/>
      <c r="K111" s="40"/>
      <c r="L111" s="48"/>
      <c r="M111" s="21">
        <f t="shared" si="7"/>
        <v>5922</v>
      </c>
    </row>
    <row r="112" spans="1:15" s="1" customFormat="1" ht="27" customHeight="1" x14ac:dyDescent="0.25">
      <c r="A112" s="10" t="s">
        <v>40</v>
      </c>
      <c r="B112" s="3">
        <v>611031</v>
      </c>
      <c r="C112" s="37" t="s">
        <v>97</v>
      </c>
      <c r="D112" s="51">
        <f>SUM(D113:D114)</f>
        <v>4076621.5300000003</v>
      </c>
      <c r="E112" s="51">
        <f t="shared" ref="E112:L112" si="8">SUM(E113:E114)</f>
        <v>0</v>
      </c>
      <c r="F112" s="51">
        <f t="shared" si="8"/>
        <v>2930603.46</v>
      </c>
      <c r="G112" s="51">
        <f t="shared" si="8"/>
        <v>3470946.25</v>
      </c>
      <c r="H112" s="51">
        <f t="shared" si="8"/>
        <v>0</v>
      </c>
      <c r="I112" s="51">
        <f t="shared" si="8"/>
        <v>3680228.76</v>
      </c>
      <c r="J112" s="51">
        <f t="shared" si="8"/>
        <v>0</v>
      </c>
      <c r="K112" s="51">
        <f t="shared" si="8"/>
        <v>0</v>
      </c>
      <c r="L112" s="51">
        <f t="shared" si="8"/>
        <v>0</v>
      </c>
      <c r="M112" s="11">
        <f t="shared" si="7"/>
        <v>14158400</v>
      </c>
    </row>
    <row r="113" spans="1:15" s="1" customFormat="1" ht="12.6" customHeight="1" x14ac:dyDescent="0.25">
      <c r="A113" s="10"/>
      <c r="B113" s="3"/>
      <c r="C113" s="14" t="s">
        <v>24</v>
      </c>
      <c r="D113" s="47">
        <v>3341493.06</v>
      </c>
      <c r="E113" s="47"/>
      <c r="F113" s="47">
        <v>2402133.98</v>
      </c>
      <c r="G113" s="47">
        <v>2845037.91</v>
      </c>
      <c r="H113" s="49"/>
      <c r="I113" s="47">
        <v>3016581.05</v>
      </c>
      <c r="J113" s="40"/>
      <c r="K113" s="40"/>
      <c r="L113" s="48"/>
      <c r="M113" s="21">
        <f>SUM(D113:L113)</f>
        <v>11605246</v>
      </c>
    </row>
    <row r="114" spans="1:15" s="1" customFormat="1" ht="12.6" customHeight="1" x14ac:dyDescent="0.25">
      <c r="A114" s="10"/>
      <c r="B114" s="3"/>
      <c r="C114" s="14" t="s">
        <v>23</v>
      </c>
      <c r="D114" s="47">
        <v>735128.47</v>
      </c>
      <c r="E114" s="47"/>
      <c r="F114" s="47">
        <v>528469.48</v>
      </c>
      <c r="G114" s="47">
        <v>625908.34</v>
      </c>
      <c r="H114" s="49"/>
      <c r="I114" s="47">
        <v>663647.71</v>
      </c>
      <c r="J114" s="40"/>
      <c r="K114" s="40"/>
      <c r="L114" s="48"/>
      <c r="M114" s="21">
        <f t="shared" si="7"/>
        <v>2553154</v>
      </c>
    </row>
    <row r="115" spans="1:15" s="1" customFormat="1" ht="30" customHeight="1" x14ac:dyDescent="0.25">
      <c r="A115" s="10" t="s">
        <v>41</v>
      </c>
      <c r="B115" s="3">
        <v>611200</v>
      </c>
      <c r="C115" s="38" t="s">
        <v>98</v>
      </c>
      <c r="D115" s="51">
        <f t="shared" ref="D115:L115" si="9">SUM(D116:D117)</f>
        <v>5039.88</v>
      </c>
      <c r="E115" s="51">
        <f t="shared" si="9"/>
        <v>0</v>
      </c>
      <c r="F115" s="51">
        <f t="shared" si="9"/>
        <v>12527.69</v>
      </c>
      <c r="G115" s="51">
        <f t="shared" si="9"/>
        <v>3023.92</v>
      </c>
      <c r="H115" s="51">
        <f t="shared" si="9"/>
        <v>0</v>
      </c>
      <c r="I115" s="51">
        <f t="shared" si="9"/>
        <v>7880.42</v>
      </c>
      <c r="J115" s="51">
        <f t="shared" si="9"/>
        <v>0</v>
      </c>
      <c r="K115" s="51">
        <f t="shared" si="9"/>
        <v>0</v>
      </c>
      <c r="L115" s="51">
        <f t="shared" si="9"/>
        <v>0</v>
      </c>
      <c r="M115" s="11">
        <f t="shared" si="7"/>
        <v>28471.909999999996</v>
      </c>
    </row>
    <row r="116" spans="1:15" s="1" customFormat="1" ht="12.6" customHeight="1" x14ac:dyDescent="0.25">
      <c r="A116" s="10"/>
      <c r="B116" s="3"/>
      <c r="C116" s="14" t="s">
        <v>24</v>
      </c>
      <c r="D116" s="47">
        <v>4131.05</v>
      </c>
      <c r="E116" s="49"/>
      <c r="F116" s="47">
        <v>10268.61</v>
      </c>
      <c r="G116" s="47">
        <v>2478.63</v>
      </c>
      <c r="H116" s="47"/>
      <c r="I116" s="47">
        <v>6459.37</v>
      </c>
      <c r="J116" s="40"/>
      <c r="K116" s="40"/>
      <c r="L116" s="48"/>
      <c r="M116" s="21">
        <f t="shared" si="7"/>
        <v>23337.66</v>
      </c>
    </row>
    <row r="117" spans="1:15" s="1" customFormat="1" ht="12.6" customHeight="1" x14ac:dyDescent="0.25">
      <c r="A117" s="10"/>
      <c r="B117" s="3"/>
      <c r="C117" s="14" t="s">
        <v>23</v>
      </c>
      <c r="D117" s="47">
        <v>908.83</v>
      </c>
      <c r="E117" s="49"/>
      <c r="F117" s="47">
        <v>2259.08</v>
      </c>
      <c r="G117" s="47">
        <v>545.29</v>
      </c>
      <c r="H117" s="47"/>
      <c r="I117" s="47">
        <v>1421.05</v>
      </c>
      <c r="J117" s="40"/>
      <c r="K117" s="40"/>
      <c r="L117" s="48"/>
      <c r="M117" s="21">
        <f t="shared" si="7"/>
        <v>5134.25</v>
      </c>
    </row>
    <row r="118" spans="1:15" s="1" customFormat="1" ht="60.75" customHeight="1" x14ac:dyDescent="0.25">
      <c r="A118" s="10" t="s">
        <v>42</v>
      </c>
      <c r="B118" s="3">
        <v>611210</v>
      </c>
      <c r="C118" s="38" t="s">
        <v>99</v>
      </c>
      <c r="D118" s="51">
        <f t="shared" ref="D118:L118" si="10">SUM(D119:D120)</f>
        <v>0</v>
      </c>
      <c r="E118" s="51">
        <f t="shared" si="10"/>
        <v>863.98</v>
      </c>
      <c r="F118" s="51">
        <f t="shared" si="10"/>
        <v>3167.9399999999996</v>
      </c>
      <c r="G118" s="51">
        <f t="shared" si="10"/>
        <v>4175.91</v>
      </c>
      <c r="H118" s="51">
        <f t="shared" si="10"/>
        <v>0</v>
      </c>
      <c r="I118" s="51">
        <f t="shared" si="10"/>
        <v>9255.18</v>
      </c>
      <c r="J118" s="51">
        <f t="shared" si="10"/>
        <v>431.99</v>
      </c>
      <c r="K118" s="51">
        <f t="shared" si="10"/>
        <v>0</v>
      </c>
      <c r="L118" s="51">
        <f t="shared" si="10"/>
        <v>0</v>
      </c>
      <c r="M118" s="11">
        <f t="shared" si="7"/>
        <v>17895.000000000004</v>
      </c>
    </row>
    <row r="119" spans="1:15" s="1" customFormat="1" ht="12.6" customHeight="1" x14ac:dyDescent="0.25">
      <c r="A119" s="10"/>
      <c r="B119" s="3"/>
      <c r="C119" s="14" t="s">
        <v>24</v>
      </c>
      <c r="D119" s="47"/>
      <c r="E119" s="46">
        <v>708.18</v>
      </c>
      <c r="F119" s="47">
        <v>2596.66</v>
      </c>
      <c r="G119" s="47">
        <v>3422.87</v>
      </c>
      <c r="H119" s="49"/>
      <c r="I119" s="47">
        <v>7586.2</v>
      </c>
      <c r="J119" s="40">
        <v>354.09</v>
      </c>
      <c r="K119" s="40"/>
      <c r="L119" s="48"/>
      <c r="M119" s="21">
        <f t="shared" si="7"/>
        <v>14668</v>
      </c>
    </row>
    <row r="120" spans="1:15" s="1" customFormat="1" ht="12.6" customHeight="1" x14ac:dyDescent="0.25">
      <c r="A120" s="10"/>
      <c r="B120" s="3"/>
      <c r="C120" s="14" t="s">
        <v>23</v>
      </c>
      <c r="D120" s="47"/>
      <c r="E120" s="46">
        <v>155.80000000000001</v>
      </c>
      <c r="F120" s="47">
        <v>571.28</v>
      </c>
      <c r="G120" s="47">
        <v>753.04</v>
      </c>
      <c r="H120" s="49"/>
      <c r="I120" s="47">
        <v>1668.98</v>
      </c>
      <c r="J120" s="40">
        <v>77.900000000000006</v>
      </c>
      <c r="K120" s="40"/>
      <c r="L120" s="48"/>
      <c r="M120" s="21">
        <f t="shared" si="7"/>
        <v>3227</v>
      </c>
    </row>
    <row r="121" spans="1:15" s="1" customFormat="1" ht="40.5" customHeight="1" x14ac:dyDescent="0.25">
      <c r="A121" s="10" t="s">
        <v>43</v>
      </c>
      <c r="B121" s="3">
        <v>611070</v>
      </c>
      <c r="C121" s="37" t="s">
        <v>105</v>
      </c>
      <c r="D121" s="51">
        <f t="shared" ref="D121:L121" si="11">SUM(D122:D126)</f>
        <v>0</v>
      </c>
      <c r="E121" s="51">
        <f t="shared" si="11"/>
        <v>0</v>
      </c>
      <c r="F121" s="51">
        <f t="shared" si="11"/>
        <v>0</v>
      </c>
      <c r="G121" s="51">
        <f t="shared" si="11"/>
        <v>0</v>
      </c>
      <c r="H121" s="51">
        <f t="shared" si="11"/>
        <v>0</v>
      </c>
      <c r="I121" s="51">
        <f t="shared" si="11"/>
        <v>0</v>
      </c>
      <c r="J121" s="51">
        <f t="shared" si="11"/>
        <v>0</v>
      </c>
      <c r="K121" s="51">
        <f t="shared" si="11"/>
        <v>0</v>
      </c>
      <c r="L121" s="51">
        <f t="shared" si="11"/>
        <v>653883.25</v>
      </c>
      <c r="M121" s="11">
        <f t="shared" ref="M121:M126" si="12">SUM(D121:L121)</f>
        <v>653883.25</v>
      </c>
      <c r="O121" s="29" t="e">
        <f>M121-M125-M126-#REF!</f>
        <v>#REF!</v>
      </c>
    </row>
    <row r="122" spans="1:15" s="1" customFormat="1" ht="12.6" customHeight="1" x14ac:dyDescent="0.25">
      <c r="A122" s="10"/>
      <c r="B122" s="3"/>
      <c r="C122" s="14" t="s">
        <v>24</v>
      </c>
      <c r="D122" s="47"/>
      <c r="E122" s="47"/>
      <c r="F122" s="47"/>
      <c r="G122" s="47"/>
      <c r="H122" s="49"/>
      <c r="I122" s="47"/>
      <c r="J122" s="40"/>
      <c r="K122" s="40"/>
      <c r="L122" s="48">
        <f>65669.74+451961.9</f>
        <v>517631.64</v>
      </c>
      <c r="M122" s="21">
        <f t="shared" si="12"/>
        <v>517631.64</v>
      </c>
    </row>
    <row r="123" spans="1:15" s="1" customFormat="1" ht="12.6" customHeight="1" x14ac:dyDescent="0.25">
      <c r="A123" s="10"/>
      <c r="B123" s="3"/>
      <c r="C123" s="14" t="s">
        <v>23</v>
      </c>
      <c r="D123" s="47"/>
      <c r="E123" s="47"/>
      <c r="F123" s="47"/>
      <c r="G123" s="47"/>
      <c r="H123" s="49"/>
      <c r="I123" s="47"/>
      <c r="J123" s="40"/>
      <c r="K123" s="40"/>
      <c r="L123" s="48">
        <f>14447.36+102290.25</f>
        <v>116737.61</v>
      </c>
      <c r="M123" s="21">
        <f t="shared" si="12"/>
        <v>116737.61</v>
      </c>
    </row>
    <row r="124" spans="1:15" s="1" customFormat="1" ht="12.6" customHeight="1" x14ac:dyDescent="0.25">
      <c r="A124" s="10"/>
      <c r="B124" s="3"/>
      <c r="C124" s="54" t="s">
        <v>106</v>
      </c>
      <c r="D124" s="47"/>
      <c r="E124" s="47"/>
      <c r="F124" s="47"/>
      <c r="G124" s="47"/>
      <c r="H124" s="49"/>
      <c r="I124" s="47"/>
      <c r="J124" s="40"/>
      <c r="K124" s="40"/>
      <c r="L124" s="48">
        <f>530+100</f>
        <v>630</v>
      </c>
      <c r="M124" s="21">
        <f t="shared" si="12"/>
        <v>630</v>
      </c>
    </row>
    <row r="125" spans="1:15" s="1" customFormat="1" ht="12.6" customHeight="1" x14ac:dyDescent="0.25">
      <c r="A125" s="10"/>
      <c r="B125" s="3"/>
      <c r="C125" s="17" t="s">
        <v>80</v>
      </c>
      <c r="D125" s="47"/>
      <c r="E125" s="47"/>
      <c r="F125" s="47"/>
      <c r="G125" s="47"/>
      <c r="H125" s="49"/>
      <c r="I125" s="47"/>
      <c r="J125" s="40"/>
      <c r="K125" s="40"/>
      <c r="L125" s="48">
        <f>72+1042+570+1825+4175+1654+8346</f>
        <v>17684</v>
      </c>
      <c r="M125" s="21">
        <f t="shared" si="12"/>
        <v>17684</v>
      </c>
    </row>
    <row r="126" spans="1:15" s="1" customFormat="1" ht="12.6" customHeight="1" x14ac:dyDescent="0.25">
      <c r="A126" s="10"/>
      <c r="B126" s="3"/>
      <c r="C126" s="17" t="s">
        <v>67</v>
      </c>
      <c r="D126" s="47"/>
      <c r="E126" s="47"/>
      <c r="F126" s="47"/>
      <c r="G126" s="47"/>
      <c r="H126" s="49"/>
      <c r="I126" s="47"/>
      <c r="J126" s="40"/>
      <c r="K126" s="40"/>
      <c r="L126" s="48">
        <v>1200</v>
      </c>
      <c r="M126" s="21">
        <f t="shared" si="12"/>
        <v>1200</v>
      </c>
    </row>
    <row r="127" spans="1:15" s="2" customFormat="1" ht="13.5" customHeight="1" x14ac:dyDescent="0.25">
      <c r="A127" s="10" t="s">
        <v>81</v>
      </c>
      <c r="B127" s="3">
        <v>613033</v>
      </c>
      <c r="C127" s="4" t="s">
        <v>12</v>
      </c>
      <c r="D127" s="45">
        <f>D128</f>
        <v>6918</v>
      </c>
      <c r="E127" s="45">
        <f t="shared" ref="E127:L127" si="13">E128</f>
        <v>0</v>
      </c>
      <c r="F127" s="45">
        <f t="shared" si="13"/>
        <v>19684</v>
      </c>
      <c r="G127" s="45">
        <f t="shared" si="13"/>
        <v>11322</v>
      </c>
      <c r="H127" s="45">
        <f t="shared" si="13"/>
        <v>0</v>
      </c>
      <c r="I127" s="45">
        <f t="shared" si="13"/>
        <v>10000</v>
      </c>
      <c r="J127" s="45">
        <f t="shared" si="13"/>
        <v>0</v>
      </c>
      <c r="K127" s="45">
        <f t="shared" si="13"/>
        <v>4354.75</v>
      </c>
      <c r="L127" s="45">
        <f t="shared" si="13"/>
        <v>0</v>
      </c>
      <c r="M127" s="34">
        <f>D127+E127+G127+H127+L127+F127+I127+J127+K127</f>
        <v>52278.75</v>
      </c>
      <c r="N127" s="1"/>
      <c r="O127" s="1"/>
    </row>
    <row r="128" spans="1:15" s="1" customFormat="1" ht="13.7" customHeight="1" x14ac:dyDescent="0.25">
      <c r="A128" s="10"/>
      <c r="B128" s="3"/>
      <c r="C128" s="15" t="s">
        <v>46</v>
      </c>
      <c r="D128" s="40">
        <v>6918</v>
      </c>
      <c r="E128" s="40"/>
      <c r="F128" s="40">
        <v>19684</v>
      </c>
      <c r="G128" s="40">
        <v>11322</v>
      </c>
      <c r="H128" s="40"/>
      <c r="I128" s="40">
        <v>10000</v>
      </c>
      <c r="J128" s="40"/>
      <c r="K128" s="40">
        <v>4354.75</v>
      </c>
      <c r="L128" s="48"/>
      <c r="M128" s="21">
        <f>SUM(D128:L128)</f>
        <v>52278.75</v>
      </c>
    </row>
    <row r="129" spans="1:15" s="1" customFormat="1" ht="18" customHeight="1" x14ac:dyDescent="0.25">
      <c r="A129" s="10" t="s">
        <v>82</v>
      </c>
      <c r="B129" s="3">
        <v>615061</v>
      </c>
      <c r="C129" s="4" t="s">
        <v>13</v>
      </c>
      <c r="D129" s="45">
        <f t="shared" ref="D129:L129" si="14">SUM(D130:D130)</f>
        <v>0</v>
      </c>
      <c r="E129" s="45">
        <f t="shared" si="14"/>
        <v>0</v>
      </c>
      <c r="F129" s="45">
        <f t="shared" si="14"/>
        <v>266020</v>
      </c>
      <c r="G129" s="45">
        <f t="shared" si="14"/>
        <v>39500</v>
      </c>
      <c r="H129" s="45">
        <f t="shared" si="14"/>
        <v>0</v>
      </c>
      <c r="I129" s="45">
        <f t="shared" si="14"/>
        <v>80000</v>
      </c>
      <c r="J129" s="45">
        <f t="shared" si="14"/>
        <v>0</v>
      </c>
      <c r="K129" s="45">
        <f t="shared" si="14"/>
        <v>0</v>
      </c>
      <c r="L129" s="45">
        <f t="shared" si="14"/>
        <v>0</v>
      </c>
      <c r="M129" s="34">
        <f>D129+E129+G129+H129+L129+F129+I129+J129</f>
        <v>385520</v>
      </c>
    </row>
    <row r="130" spans="1:15" s="1" customFormat="1" ht="15" customHeight="1" x14ac:dyDescent="0.25">
      <c r="A130" s="10"/>
      <c r="B130" s="3"/>
      <c r="C130" s="17" t="s">
        <v>104</v>
      </c>
      <c r="D130" s="40"/>
      <c r="E130" s="40"/>
      <c r="F130" s="40">
        <f>50500+60000+155520</f>
        <v>266020</v>
      </c>
      <c r="G130" s="40">
        <f>5000+18500+16000</f>
        <v>39500</v>
      </c>
      <c r="H130" s="45"/>
      <c r="I130" s="40">
        <v>80000</v>
      </c>
      <c r="J130" s="45"/>
      <c r="K130" s="45"/>
      <c r="L130" s="40"/>
      <c r="M130" s="21">
        <f>SUM(D130:L130)</f>
        <v>385520</v>
      </c>
      <c r="O130" s="29" t="e">
        <f>M129-#REF!-#REF!</f>
        <v>#REF!</v>
      </c>
    </row>
    <row r="131" spans="1:15" s="1" customFormat="1" ht="29.25" x14ac:dyDescent="0.25">
      <c r="A131" s="10" t="s">
        <v>100</v>
      </c>
      <c r="B131" s="3">
        <v>611141</v>
      </c>
      <c r="C131" s="26" t="s">
        <v>44</v>
      </c>
      <c r="D131" s="45">
        <f t="shared" ref="D131:K131" si="15">SUM(D132:D137)</f>
        <v>0</v>
      </c>
      <c r="E131" s="45">
        <f t="shared" si="15"/>
        <v>0</v>
      </c>
      <c r="F131" s="45">
        <f t="shared" si="15"/>
        <v>0</v>
      </c>
      <c r="G131" s="45">
        <f t="shared" si="15"/>
        <v>0</v>
      </c>
      <c r="H131" s="45">
        <f t="shared" si="15"/>
        <v>0</v>
      </c>
      <c r="I131" s="45">
        <f t="shared" si="15"/>
        <v>0</v>
      </c>
      <c r="J131" s="45">
        <f t="shared" si="15"/>
        <v>0</v>
      </c>
      <c r="K131" s="45">
        <f t="shared" si="15"/>
        <v>0</v>
      </c>
      <c r="L131" s="45">
        <f>SUM(L132:L139)</f>
        <v>1218777.97</v>
      </c>
      <c r="M131" s="11">
        <f>SUM(D131:L131)</f>
        <v>1218777.97</v>
      </c>
    </row>
    <row r="132" spans="1:15" s="1" customFormat="1" ht="30" customHeight="1" x14ac:dyDescent="0.25">
      <c r="A132" s="10"/>
      <c r="B132" s="3"/>
      <c r="C132" s="14" t="s">
        <v>24</v>
      </c>
      <c r="D132" s="40"/>
      <c r="E132" s="40"/>
      <c r="F132" s="40"/>
      <c r="G132" s="40"/>
      <c r="H132" s="40"/>
      <c r="I132" s="40"/>
      <c r="J132" s="40"/>
      <c r="K132" s="40"/>
      <c r="L132" s="52">
        <v>936643.89</v>
      </c>
      <c r="M132" s="21">
        <f>SUM(D132:L132)</f>
        <v>936643.89</v>
      </c>
      <c r="O132" s="32"/>
    </row>
    <row r="133" spans="1:15" s="1" customFormat="1" ht="16.5" customHeight="1" x14ac:dyDescent="0.25">
      <c r="A133" s="10"/>
      <c r="B133" s="3"/>
      <c r="C133" s="14" t="s">
        <v>23</v>
      </c>
      <c r="D133" s="40"/>
      <c r="E133" s="40"/>
      <c r="F133" s="40"/>
      <c r="G133" s="40"/>
      <c r="H133" s="40"/>
      <c r="I133" s="40"/>
      <c r="J133" s="40"/>
      <c r="K133" s="40"/>
      <c r="L133" s="52">
        <v>207570.08</v>
      </c>
      <c r="M133" s="21">
        <f t="shared" ref="M133:M139" si="16">SUM(D133:L133)</f>
        <v>207570.08</v>
      </c>
    </row>
    <row r="134" spans="1:15" s="1" customFormat="1" ht="16.5" customHeight="1" x14ac:dyDescent="0.25">
      <c r="A134" s="10"/>
      <c r="B134" s="3"/>
      <c r="C134" s="14" t="s">
        <v>80</v>
      </c>
      <c r="D134" s="40"/>
      <c r="E134" s="40"/>
      <c r="F134" s="40"/>
      <c r="G134" s="40"/>
      <c r="H134" s="40"/>
      <c r="I134" s="40"/>
      <c r="J134" s="40"/>
      <c r="K134" s="40"/>
      <c r="L134" s="52">
        <v>9503</v>
      </c>
      <c r="M134" s="21">
        <f t="shared" si="16"/>
        <v>9503</v>
      </c>
    </row>
    <row r="135" spans="1:15" s="1" customFormat="1" ht="16.5" customHeight="1" x14ac:dyDescent="0.25">
      <c r="A135" s="10"/>
      <c r="B135" s="3"/>
      <c r="C135" s="15" t="s">
        <v>103</v>
      </c>
      <c r="D135" s="40"/>
      <c r="E135" s="40"/>
      <c r="F135" s="40"/>
      <c r="G135" s="40"/>
      <c r="H135" s="40"/>
      <c r="I135" s="40"/>
      <c r="J135" s="40"/>
      <c r="K135" s="40"/>
      <c r="L135" s="48">
        <v>2340</v>
      </c>
      <c r="M135" s="21">
        <f t="shared" si="16"/>
        <v>2340</v>
      </c>
    </row>
    <row r="136" spans="1:15" s="1" customFormat="1" ht="31.5" x14ac:dyDescent="0.25">
      <c r="A136" s="10"/>
      <c r="B136" s="3"/>
      <c r="C136" s="19" t="s">
        <v>45</v>
      </c>
      <c r="D136" s="40"/>
      <c r="E136" s="40"/>
      <c r="F136" s="40"/>
      <c r="G136" s="40"/>
      <c r="H136" s="40"/>
      <c r="I136" s="40"/>
      <c r="J136" s="40"/>
      <c r="K136" s="40"/>
      <c r="L136" s="48">
        <v>15000</v>
      </c>
      <c r="M136" s="21">
        <f t="shared" si="16"/>
        <v>15000</v>
      </c>
    </row>
    <row r="137" spans="1:15" s="1" customFormat="1" ht="15.75" x14ac:dyDescent="0.25">
      <c r="A137" s="10"/>
      <c r="B137" s="3"/>
      <c r="C137" s="19" t="s">
        <v>48</v>
      </c>
      <c r="D137" s="40"/>
      <c r="E137" s="40"/>
      <c r="F137" s="40"/>
      <c r="G137" s="40"/>
      <c r="H137" s="40"/>
      <c r="I137" s="40"/>
      <c r="J137" s="40"/>
      <c r="K137" s="40"/>
      <c r="L137" s="48">
        <v>20986</v>
      </c>
      <c r="M137" s="21">
        <f t="shared" si="16"/>
        <v>20986</v>
      </c>
    </row>
    <row r="138" spans="1:15" s="1" customFormat="1" ht="15.75" x14ac:dyDescent="0.25">
      <c r="A138" s="10"/>
      <c r="B138" s="3"/>
      <c r="C138" s="19" t="s">
        <v>91</v>
      </c>
      <c r="D138" s="40"/>
      <c r="E138" s="40"/>
      <c r="F138" s="40"/>
      <c r="G138" s="40"/>
      <c r="H138" s="40"/>
      <c r="I138" s="40"/>
      <c r="J138" s="40"/>
      <c r="K138" s="40"/>
      <c r="L138" s="48">
        <v>2735</v>
      </c>
      <c r="M138" s="21">
        <f t="shared" si="16"/>
        <v>2735</v>
      </c>
    </row>
    <row r="139" spans="1:15" s="1" customFormat="1" ht="31.5" x14ac:dyDescent="0.25">
      <c r="A139" s="10"/>
      <c r="B139" s="3"/>
      <c r="C139" s="19" t="s">
        <v>49</v>
      </c>
      <c r="D139" s="40"/>
      <c r="E139" s="40"/>
      <c r="F139" s="40"/>
      <c r="G139" s="40"/>
      <c r="H139" s="40"/>
      <c r="I139" s="40"/>
      <c r="J139" s="40"/>
      <c r="K139" s="40"/>
      <c r="L139" s="48">
        <v>24000</v>
      </c>
      <c r="M139" s="21">
        <f t="shared" si="16"/>
        <v>24000</v>
      </c>
    </row>
    <row r="140" spans="1:15" s="1" customFormat="1" ht="31.5" x14ac:dyDescent="0.25">
      <c r="A140" s="10" t="s">
        <v>101</v>
      </c>
      <c r="B140" s="3">
        <v>613242</v>
      </c>
      <c r="C140" s="27" t="s">
        <v>53</v>
      </c>
      <c r="D140" s="45">
        <f>D141</f>
        <v>0</v>
      </c>
      <c r="E140" s="45">
        <f t="shared" ref="E140:L140" si="17">E141</f>
        <v>0</v>
      </c>
      <c r="F140" s="45">
        <f t="shared" si="17"/>
        <v>3620</v>
      </c>
      <c r="G140" s="45">
        <f t="shared" si="17"/>
        <v>1810</v>
      </c>
      <c r="H140" s="45">
        <f t="shared" si="17"/>
        <v>0</v>
      </c>
      <c r="I140" s="45">
        <f t="shared" si="17"/>
        <v>0</v>
      </c>
      <c r="J140" s="45">
        <f t="shared" si="17"/>
        <v>0</v>
      </c>
      <c r="K140" s="45">
        <f t="shared" si="17"/>
        <v>1810</v>
      </c>
      <c r="L140" s="45">
        <f t="shared" si="17"/>
        <v>0</v>
      </c>
      <c r="M140" s="11">
        <f t="shared" ref="M140:M146" si="18">SUM(D140:L140)</f>
        <v>7240</v>
      </c>
    </row>
    <row r="141" spans="1:15" s="1" customFormat="1" ht="15.75" x14ac:dyDescent="0.25">
      <c r="A141" s="10"/>
      <c r="B141" s="3"/>
      <c r="C141" s="19" t="s">
        <v>54</v>
      </c>
      <c r="D141" s="40"/>
      <c r="E141" s="40"/>
      <c r="F141" s="40">
        <f>1810+1810</f>
        <v>3620</v>
      </c>
      <c r="G141" s="40">
        <v>1810</v>
      </c>
      <c r="H141" s="40"/>
      <c r="I141" s="40"/>
      <c r="J141" s="40"/>
      <c r="K141" s="40">
        <v>1810</v>
      </c>
      <c r="L141" s="48"/>
      <c r="M141" s="21">
        <f t="shared" si="18"/>
        <v>7240</v>
      </c>
    </row>
    <row r="142" spans="1:15" s="1" customFormat="1" ht="15.75" x14ac:dyDescent="0.25">
      <c r="A142" s="10" t="s">
        <v>102</v>
      </c>
      <c r="B142" s="3">
        <v>617321</v>
      </c>
      <c r="C142" s="27" t="s">
        <v>79</v>
      </c>
      <c r="D142" s="45">
        <f>SUM(D143:D146)</f>
        <v>1709139.7</v>
      </c>
      <c r="E142" s="45">
        <f t="shared" ref="E142:L142" si="19">E143</f>
        <v>0</v>
      </c>
      <c r="F142" s="45">
        <f t="shared" si="19"/>
        <v>0</v>
      </c>
      <c r="G142" s="45">
        <f t="shared" si="19"/>
        <v>0</v>
      </c>
      <c r="H142" s="45">
        <f t="shared" si="19"/>
        <v>0</v>
      </c>
      <c r="I142" s="45">
        <f t="shared" si="19"/>
        <v>0</v>
      </c>
      <c r="J142" s="45">
        <f t="shared" si="19"/>
        <v>0</v>
      </c>
      <c r="K142" s="45">
        <f t="shared" si="19"/>
        <v>0</v>
      </c>
      <c r="L142" s="45">
        <f t="shared" si="19"/>
        <v>0</v>
      </c>
      <c r="M142" s="11">
        <f t="shared" si="18"/>
        <v>1709139.7</v>
      </c>
    </row>
    <row r="143" spans="1:15" s="1" customFormat="1" ht="63" x14ac:dyDescent="0.25">
      <c r="A143" s="10"/>
      <c r="B143" s="3"/>
      <c r="C143" s="15" t="s">
        <v>126</v>
      </c>
      <c r="D143" s="40">
        <v>48715.78</v>
      </c>
      <c r="E143" s="40"/>
      <c r="F143" s="40"/>
      <c r="G143" s="40"/>
      <c r="H143" s="40"/>
      <c r="I143" s="40"/>
      <c r="J143" s="40"/>
      <c r="K143" s="40"/>
      <c r="L143" s="48"/>
      <c r="M143" s="21">
        <f t="shared" si="18"/>
        <v>48715.78</v>
      </c>
    </row>
    <row r="144" spans="1:15" ht="45" x14ac:dyDescent="0.25">
      <c r="A144" s="16"/>
      <c r="B144" s="16"/>
      <c r="C144" s="18" t="s">
        <v>127</v>
      </c>
      <c r="D144" s="39">
        <v>1642214.47</v>
      </c>
      <c r="E144" s="16"/>
      <c r="F144" s="16"/>
      <c r="G144" s="16"/>
      <c r="H144" s="16"/>
      <c r="I144" s="16"/>
      <c r="J144" s="16"/>
      <c r="K144" s="16"/>
      <c r="L144" s="16"/>
      <c r="M144" s="21">
        <f t="shared" si="18"/>
        <v>1642214.47</v>
      </c>
    </row>
    <row r="145" spans="1:13" x14ac:dyDescent="0.25">
      <c r="A145" s="16"/>
      <c r="B145" s="16"/>
      <c r="C145" s="16" t="s">
        <v>128</v>
      </c>
      <c r="D145" s="39">
        <v>10839.45</v>
      </c>
      <c r="E145" s="16"/>
      <c r="F145" s="16"/>
      <c r="G145" s="16"/>
      <c r="H145" s="16"/>
      <c r="I145" s="16"/>
      <c r="J145" s="16"/>
      <c r="K145" s="16"/>
      <c r="L145" s="16"/>
      <c r="M145" s="21">
        <f t="shared" si="18"/>
        <v>10839.45</v>
      </c>
    </row>
    <row r="146" spans="1:13" x14ac:dyDescent="0.25">
      <c r="A146" s="16"/>
      <c r="B146" s="16"/>
      <c r="C146" s="16" t="s">
        <v>129</v>
      </c>
      <c r="D146" s="39">
        <v>7370</v>
      </c>
      <c r="E146" s="16"/>
      <c r="F146" s="16"/>
      <c r="G146" s="16"/>
      <c r="H146" s="16"/>
      <c r="I146" s="16"/>
      <c r="J146" s="16"/>
      <c r="K146" s="16"/>
      <c r="L146" s="16"/>
      <c r="M146" s="21">
        <f t="shared" si="18"/>
        <v>7370</v>
      </c>
    </row>
  </sheetData>
  <mergeCells count="9">
    <mergeCell ref="M4:M5"/>
    <mergeCell ref="A2:L2"/>
    <mergeCell ref="A3:L3"/>
    <mergeCell ref="A6:C6"/>
    <mergeCell ref="C4:C5"/>
    <mergeCell ref="B4:B5"/>
    <mergeCell ref="A4:A5"/>
    <mergeCell ref="E4:F4"/>
    <mergeCell ref="L4:L5"/>
  </mergeCells>
  <printOptions horizontalCentered="1"/>
  <pageMargins left="0" right="0" top="0" bottom="0" header="0.31496062992125984" footer="0.31496062992125984"/>
  <pageSetup paperSize="9" scale="4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Видатки</vt:lpstr>
      <vt:lpstr>Видатки!Заголовки_для_друку</vt:lpstr>
      <vt:lpstr>Видатки!Область_друку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2024-03-12T08:57:22Z</dcterms:modified>
</cp:coreProperties>
</file>