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8800" windowHeight="12300"/>
  </bookViews>
  <sheets>
    <sheet name="Видатки" sheetId="1" r:id="rId1"/>
  </sheets>
  <definedNames>
    <definedName name="_xlnm.Print_Titles" localSheetId="0">Видатки!$4:$4</definedName>
    <definedName name="_xlnm.Print_Area" localSheetId="0">Видатки!$A$2:$L$191</definedName>
  </definedNames>
  <calcPr calcId="162913" refMode="R1C1"/>
</workbook>
</file>

<file path=xl/calcChain.xml><?xml version="1.0" encoding="utf-8"?>
<calcChain xmlns="http://schemas.openxmlformats.org/spreadsheetml/2006/main">
  <c r="D60" i="1" l="1"/>
  <c r="P66" i="1" l="1"/>
  <c r="N66" i="1"/>
  <c r="H60" i="1"/>
  <c r="E20" i="1" l="1"/>
  <c r="P7" i="1"/>
  <c r="N7" i="1"/>
  <c r="E60" i="1"/>
  <c r="F60" i="1"/>
  <c r="L60" i="1" s="1"/>
  <c r="N60" i="1" s="1"/>
  <c r="G60" i="1"/>
  <c r="I60" i="1"/>
  <c r="J60" i="1"/>
  <c r="K60" i="1"/>
  <c r="N126" i="1"/>
  <c r="E6" i="1"/>
  <c r="F6" i="1"/>
  <c r="G6" i="1"/>
  <c r="H6" i="1"/>
  <c r="I6" i="1"/>
  <c r="J6" i="1"/>
  <c r="K6" i="1"/>
  <c r="D6" i="1"/>
  <c r="L143" i="1"/>
  <c r="L142" i="1"/>
  <c r="K141" i="1"/>
  <c r="J141" i="1"/>
  <c r="I141" i="1"/>
  <c r="H141" i="1"/>
  <c r="G141" i="1"/>
  <c r="F141" i="1"/>
  <c r="E141" i="1"/>
  <c r="D141" i="1"/>
  <c r="L141" i="1" s="1"/>
  <c r="L6" i="1" l="1"/>
  <c r="D102" i="1" l="1"/>
  <c r="D94" i="1"/>
  <c r="L106" i="1" l="1"/>
  <c r="H70" i="1"/>
  <c r="L70" i="1"/>
  <c r="D123" i="1"/>
  <c r="G88" i="1"/>
  <c r="F88" i="1"/>
  <c r="H88" i="1"/>
  <c r="D88" i="1"/>
  <c r="L88" i="1"/>
  <c r="E46" i="1"/>
  <c r="L25" i="1"/>
  <c r="L26" i="1"/>
  <c r="L129" i="1" l="1"/>
  <c r="L132" i="1"/>
  <c r="L133" i="1"/>
  <c r="L134" i="1"/>
  <c r="G131" i="1"/>
  <c r="L112" i="1"/>
  <c r="L105" i="1"/>
  <c r="L100" i="1"/>
  <c r="L101" i="1"/>
  <c r="L91" i="1"/>
  <c r="L92" i="1"/>
  <c r="L93" i="1"/>
  <c r="L87" i="1"/>
  <c r="L84" i="1"/>
  <c r="L80" i="1"/>
  <c r="L73" i="1"/>
  <c r="L74" i="1"/>
  <c r="L75" i="1"/>
  <c r="L67" i="1"/>
  <c r="L68" i="1"/>
  <c r="L69" i="1"/>
  <c r="J121" i="1"/>
  <c r="H121" i="1"/>
  <c r="G121" i="1"/>
  <c r="F121" i="1"/>
  <c r="D121" i="1"/>
  <c r="D122" i="1"/>
  <c r="F89" i="1"/>
  <c r="L111" i="1"/>
  <c r="F108" i="1"/>
  <c r="H118" i="1"/>
  <c r="G118" i="1"/>
  <c r="F118" i="1"/>
  <c r="D118" i="1"/>
  <c r="H115" i="1"/>
  <c r="G115" i="1"/>
  <c r="F115" i="1"/>
  <c r="D115" i="1"/>
  <c r="H114" i="1"/>
  <c r="G114" i="1"/>
  <c r="D114" i="1"/>
  <c r="H113" i="1"/>
  <c r="G113" i="1"/>
  <c r="F113" i="1"/>
  <c r="D113" i="1"/>
  <c r="H109" i="1"/>
  <c r="G109" i="1"/>
  <c r="D109" i="1"/>
  <c r="H102" i="1"/>
  <c r="G102" i="1"/>
  <c r="H98" i="1"/>
  <c r="G98" i="1"/>
  <c r="F98" i="1"/>
  <c r="D98" i="1"/>
  <c r="F97" i="1"/>
  <c r="D97" i="1"/>
  <c r="H95" i="1"/>
  <c r="G95" i="1"/>
  <c r="F95" i="1"/>
  <c r="D95" i="1"/>
  <c r="H94" i="1"/>
  <c r="G94" i="1"/>
  <c r="F94" i="1"/>
  <c r="H90" i="1"/>
  <c r="G90" i="1"/>
  <c r="F90" i="1"/>
  <c r="D90" i="1"/>
  <c r="G87" i="1"/>
  <c r="F87" i="1"/>
  <c r="H68" i="1"/>
  <c r="H89" i="1"/>
  <c r="G89" i="1"/>
  <c r="H82" i="1"/>
  <c r="F82" i="1"/>
  <c r="D82" i="1"/>
  <c r="H79" i="1"/>
  <c r="F79" i="1"/>
  <c r="D79" i="1"/>
  <c r="H71" i="1"/>
  <c r="H76" i="1"/>
  <c r="H72" i="1"/>
  <c r="G72" i="1"/>
  <c r="G71" i="1"/>
  <c r="F72" i="1"/>
  <c r="F71" i="1"/>
  <c r="D72" i="1"/>
  <c r="D71" i="1"/>
  <c r="D70" i="1"/>
  <c r="F70" i="1"/>
  <c r="G70" i="1"/>
  <c r="H66" i="1"/>
  <c r="G66" i="1"/>
  <c r="H64" i="1"/>
  <c r="G64" i="1"/>
  <c r="H65" i="1"/>
  <c r="F65" i="1"/>
  <c r="D65" i="1"/>
  <c r="I32" i="1"/>
  <c r="L42" i="1"/>
  <c r="L43" i="1"/>
  <c r="L44" i="1"/>
  <c r="L45" i="1"/>
  <c r="L46" i="1"/>
  <c r="L47" i="1"/>
  <c r="L36" i="1"/>
  <c r="L37" i="1"/>
  <c r="L27" i="1"/>
  <c r="L28" i="1"/>
  <c r="L29" i="1"/>
  <c r="L30" i="1"/>
  <c r="L31" i="1"/>
  <c r="L32" i="1"/>
  <c r="L33" i="1"/>
  <c r="L23" i="1"/>
  <c r="I56" i="1"/>
  <c r="E56" i="1"/>
  <c r="N27" i="1" l="1"/>
  <c r="I57" i="1"/>
  <c r="I54" i="1"/>
  <c r="I38" i="1"/>
  <c r="I51" i="1"/>
  <c r="I35" i="1"/>
  <c r="I39" i="1"/>
  <c r="I37" i="1"/>
  <c r="I27" i="1"/>
  <c r="I28" i="1"/>
  <c r="E57" i="1"/>
  <c r="E55" i="1"/>
  <c r="E54" i="1"/>
  <c r="E51" i="1"/>
  <c r="E48" i="1"/>
  <c r="E39" i="1"/>
  <c r="E38" i="1"/>
  <c r="E37" i="1"/>
  <c r="E35" i="1"/>
  <c r="E30" i="1"/>
  <c r="E28" i="1"/>
  <c r="E27" i="1"/>
  <c r="L59" i="1"/>
  <c r="L19" i="1"/>
  <c r="L7" i="1"/>
  <c r="K7" i="1"/>
  <c r="L170" i="1"/>
  <c r="L171" i="1"/>
  <c r="L172" i="1"/>
  <c r="L173" i="1"/>
  <c r="H173" i="1"/>
  <c r="G173" i="1"/>
  <c r="F173" i="1"/>
  <c r="J164" i="1"/>
  <c r="H164" i="1"/>
  <c r="G164" i="1"/>
  <c r="F164" i="1"/>
  <c r="D164" i="1"/>
  <c r="J183" i="1"/>
  <c r="F183" i="1"/>
  <c r="L156" i="1"/>
  <c r="L149" i="1"/>
  <c r="L150" i="1"/>
  <c r="K159" i="1"/>
  <c r="K158" i="1"/>
  <c r="K157" i="1"/>
  <c r="K155" i="1"/>
  <c r="K153" i="1"/>
  <c r="K146" i="1"/>
  <c r="K145" i="1"/>
  <c r="L177" i="1"/>
  <c r="L178" i="1"/>
  <c r="K181" i="1"/>
  <c r="K180" i="1"/>
  <c r="K179" i="1"/>
  <c r="K176" i="1"/>
  <c r="K174" i="1" s="1"/>
  <c r="K19" i="1"/>
  <c r="K18" i="1"/>
  <c r="K17" i="1"/>
  <c r="K14" i="1" l="1"/>
  <c r="K13" i="1"/>
  <c r="K9" i="1"/>
  <c r="K8" i="1"/>
  <c r="L189" i="1" l="1"/>
  <c r="E188" i="1"/>
  <c r="F188" i="1"/>
  <c r="G188" i="1"/>
  <c r="H188" i="1"/>
  <c r="I188" i="1"/>
  <c r="J188" i="1"/>
  <c r="K188" i="1"/>
  <c r="D188" i="1"/>
  <c r="L187" i="1"/>
  <c r="E186" i="1"/>
  <c r="F186" i="1"/>
  <c r="G186" i="1"/>
  <c r="H186" i="1"/>
  <c r="I186" i="1"/>
  <c r="J186" i="1"/>
  <c r="K186" i="1"/>
  <c r="D186" i="1"/>
  <c r="L188" i="1" l="1"/>
  <c r="L186" i="1"/>
  <c r="L162" i="1"/>
  <c r="L89" i="1"/>
  <c r="L77" i="1"/>
  <c r="L108" i="1"/>
  <c r="L110" i="1"/>
  <c r="L116" i="1"/>
  <c r="L117" i="1"/>
  <c r="L130" i="1" l="1"/>
  <c r="L131" i="1"/>
  <c r="D64" i="1"/>
  <c r="D66" i="1"/>
  <c r="F66" i="1"/>
  <c r="F102" i="1"/>
  <c r="G65" i="1"/>
  <c r="J90" i="1"/>
  <c r="J113" i="1"/>
  <c r="L99" i="1"/>
  <c r="L120" i="1" l="1"/>
  <c r="L115" i="1"/>
  <c r="L119" i="1"/>
  <c r="J95" i="1"/>
  <c r="J118" i="1"/>
  <c r="J94" i="1"/>
  <c r="L86" i="1"/>
  <c r="J82" i="1"/>
  <c r="L52" i="1"/>
  <c r="L55" i="1"/>
  <c r="L50" i="1"/>
  <c r="L38" i="1"/>
  <c r="L183" i="1"/>
  <c r="E182" i="1"/>
  <c r="F182" i="1"/>
  <c r="G182" i="1"/>
  <c r="H182" i="1"/>
  <c r="I182" i="1"/>
  <c r="J182" i="1"/>
  <c r="K182" i="1"/>
  <c r="D182" i="1"/>
  <c r="J185" i="1"/>
  <c r="L182" i="1" l="1"/>
  <c r="K16" i="1"/>
  <c r="F114" i="1" l="1"/>
  <c r="L125" i="1"/>
  <c r="J114" i="1"/>
  <c r="L109" i="1"/>
  <c r="H104" i="1"/>
  <c r="D104" i="1"/>
  <c r="G83" i="1" l="1"/>
  <c r="G82" i="1"/>
  <c r="D78" i="1"/>
  <c r="D83" i="1"/>
  <c r="J70" i="1"/>
  <c r="J83" i="1"/>
  <c r="I40" i="1"/>
  <c r="I34" i="1"/>
  <c r="I30" i="1"/>
  <c r="E40" i="1"/>
  <c r="D173" i="1"/>
  <c r="L160" i="1" l="1"/>
  <c r="L159" i="1"/>
  <c r="L158" i="1"/>
  <c r="L157" i="1"/>
  <c r="K152" i="1"/>
  <c r="K148" i="1"/>
  <c r="K144" i="1" l="1"/>
  <c r="D190" i="1"/>
  <c r="L63" i="1"/>
  <c r="L114" i="1"/>
  <c r="L147" i="1" l="1"/>
  <c r="L168" i="1" l="1"/>
  <c r="L166" i="1"/>
  <c r="E165" i="1"/>
  <c r="F165" i="1"/>
  <c r="G165" i="1"/>
  <c r="H165" i="1"/>
  <c r="I165" i="1"/>
  <c r="J165" i="1"/>
  <c r="K165" i="1"/>
  <c r="D165" i="1"/>
  <c r="L128" i="1"/>
  <c r="L165" i="1" l="1"/>
  <c r="L65" i="1"/>
  <c r="L76" i="1"/>
  <c r="L83" i="1"/>
  <c r="L85" i="1"/>
  <c r="L79" i="1"/>
  <c r="L49" i="1"/>
  <c r="L40" i="1"/>
  <c r="L34" i="1"/>
  <c r="E169" i="1"/>
  <c r="F169" i="1"/>
  <c r="H169" i="1"/>
  <c r="I169" i="1"/>
  <c r="J169" i="1"/>
  <c r="G169" i="1"/>
  <c r="L151" i="1"/>
  <c r="L155" i="1"/>
  <c r="L152" i="1"/>
  <c r="L12" i="1"/>
  <c r="L16" i="1"/>
  <c r="L15" i="1"/>
  <c r="D169" i="1" l="1"/>
  <c r="L78" i="1"/>
  <c r="L81" i="1"/>
  <c r="L71" i="1"/>
  <c r="L66" i="1"/>
  <c r="L72" i="1"/>
  <c r="L82" i="1"/>
  <c r="L64" i="1"/>
  <c r="K169" i="1"/>
  <c r="L169" i="1" s="1"/>
  <c r="L53" i="1"/>
  <c r="L39" i="1"/>
  <c r="L35" i="1"/>
  <c r="L148" i="1" l="1"/>
  <c r="E138" i="1" l="1"/>
  <c r="F138" i="1"/>
  <c r="G138" i="1"/>
  <c r="I138" i="1"/>
  <c r="J138" i="1"/>
  <c r="K138" i="1"/>
  <c r="D138" i="1"/>
  <c r="L139" i="1"/>
  <c r="L140" i="1"/>
  <c r="E135" i="1"/>
  <c r="F135" i="1"/>
  <c r="G135" i="1"/>
  <c r="H135" i="1"/>
  <c r="I135" i="1"/>
  <c r="J135" i="1"/>
  <c r="K135" i="1"/>
  <c r="D135" i="1"/>
  <c r="L136" i="1"/>
  <c r="L137" i="1"/>
  <c r="H138" i="1" l="1"/>
  <c r="L138" i="1" s="1"/>
  <c r="L135" i="1"/>
  <c r="E144" i="1"/>
  <c r="F144" i="1"/>
  <c r="G144" i="1"/>
  <c r="H144" i="1"/>
  <c r="I144" i="1"/>
  <c r="J144" i="1"/>
  <c r="D144" i="1"/>
  <c r="L145" i="1"/>
  <c r="L146" i="1"/>
  <c r="L153" i="1"/>
  <c r="L154" i="1"/>
  <c r="L103" i="1"/>
  <c r="L144" i="1" l="1"/>
  <c r="N145" i="1" s="1"/>
  <c r="F20" i="1"/>
  <c r="G20" i="1"/>
  <c r="H20" i="1"/>
  <c r="J20" i="1"/>
  <c r="K20" i="1"/>
  <c r="L123" i="1" l="1"/>
  <c r="L118" i="1"/>
  <c r="L102" i="1"/>
  <c r="L107" i="1"/>
  <c r="L90" i="1"/>
  <c r="L94" i="1"/>
  <c r="L104" i="1"/>
  <c r="L54" i="1"/>
  <c r="L56" i="1"/>
  <c r="L41" i="1"/>
  <c r="L48" i="1"/>
  <c r="L51" i="1"/>
  <c r="N35" i="1" l="1"/>
  <c r="I20" i="1" l="1"/>
  <c r="L10" i="1"/>
  <c r="L17" i="1"/>
  <c r="L191" i="1" l="1"/>
  <c r="E190" i="1"/>
  <c r="F190" i="1"/>
  <c r="G190" i="1"/>
  <c r="H190" i="1"/>
  <c r="I190" i="1"/>
  <c r="J190" i="1"/>
  <c r="K190" i="1"/>
  <c r="L113" i="1"/>
  <c r="L95" i="1"/>
  <c r="L96" i="1"/>
  <c r="L97" i="1"/>
  <c r="L98" i="1"/>
  <c r="L121" i="1"/>
  <c r="L127" i="1"/>
  <c r="N90" i="1" l="1"/>
  <c r="L190" i="1"/>
  <c r="L61" i="1" l="1"/>
  <c r="H7" i="1" l="1"/>
  <c r="I7" i="1"/>
  <c r="J7" i="1"/>
  <c r="J184" i="1"/>
  <c r="J174" i="1"/>
  <c r="J163" i="1"/>
  <c r="L57" i="1" l="1"/>
  <c r="L175" i="1" l="1"/>
  <c r="L185" i="1"/>
  <c r="K184" i="1"/>
  <c r="E184" i="1"/>
  <c r="F184" i="1"/>
  <c r="G184" i="1"/>
  <c r="H184" i="1"/>
  <c r="I184" i="1"/>
  <c r="D184" i="1"/>
  <c r="H163" i="1"/>
  <c r="H174" i="1"/>
  <c r="I174" i="1"/>
  <c r="I163" i="1"/>
  <c r="L181" i="1"/>
  <c r="L184" i="1" l="1"/>
  <c r="L22" i="1"/>
  <c r="L21" i="1"/>
  <c r="L164" i="1" l="1"/>
  <c r="L176" i="1"/>
  <c r="L179" i="1"/>
  <c r="L180" i="1"/>
  <c r="L62" i="1"/>
  <c r="L122" i="1"/>
  <c r="L24" i="1"/>
  <c r="L9" i="1"/>
  <c r="L11" i="1"/>
  <c r="L13" i="1"/>
  <c r="L14" i="1"/>
  <c r="L18" i="1"/>
  <c r="L8" i="1"/>
  <c r="E174" i="1"/>
  <c r="F174" i="1"/>
  <c r="G174" i="1"/>
  <c r="D174" i="1"/>
  <c r="E163" i="1"/>
  <c r="F163" i="1"/>
  <c r="G163" i="1"/>
  <c r="K163" i="1"/>
  <c r="D163" i="1"/>
  <c r="D20" i="1"/>
  <c r="L20" i="1" s="1"/>
  <c r="N20" i="1" s="1"/>
  <c r="E7" i="1"/>
  <c r="F7" i="1"/>
  <c r="G7" i="1"/>
  <c r="D7" i="1"/>
  <c r="L163" i="1" l="1"/>
  <c r="N6" i="1"/>
  <c r="L174" i="1"/>
</calcChain>
</file>

<file path=xl/sharedStrings.xml><?xml version="1.0" encoding="utf-8"?>
<sst xmlns="http://schemas.openxmlformats.org/spreadsheetml/2006/main" count="226" uniqueCount="172">
  <si>
    <t/>
  </si>
  <si>
    <t>№ з/п</t>
  </si>
  <si>
    <t>Миколаївський старостат</t>
  </si>
  <si>
    <t xml:space="preserve">Северинівський старостат </t>
  </si>
  <si>
    <t xml:space="preserve">Постольненський старостат </t>
  </si>
  <si>
    <t>Разом</t>
  </si>
  <si>
    <t>КПК</t>
  </si>
  <si>
    <t>ВИДАТКИ</t>
  </si>
  <si>
    <t>Утримання апарату управління</t>
  </si>
  <si>
    <t>Дошкільна освіта</t>
  </si>
  <si>
    <t>Шкільна освіта</t>
  </si>
  <si>
    <t>Пільгове перевезення педпрацівників</t>
  </si>
  <si>
    <t>Фізкультурно-масові заходи</t>
  </si>
  <si>
    <t>ОСВІТА</t>
  </si>
  <si>
    <t>Загальні видатки</t>
  </si>
  <si>
    <t>1.</t>
  </si>
  <si>
    <t>послуги з обслуговування сайту</t>
  </si>
  <si>
    <t xml:space="preserve">обслуг. комп.техніки </t>
  </si>
  <si>
    <t>суборенда приміщення</t>
  </si>
  <si>
    <t xml:space="preserve"> Відшкодування за водопостачання</t>
  </si>
  <si>
    <t xml:space="preserve"> Відшкодування за електроенергію </t>
  </si>
  <si>
    <t>Нарахування на заробітну плату</t>
  </si>
  <si>
    <t>Витрати на заробітну плату</t>
  </si>
  <si>
    <t>2.</t>
  </si>
  <si>
    <t>КДНЗ "Веселка"</t>
  </si>
  <si>
    <t>Северинівська ЗОШ</t>
  </si>
  <si>
    <t>Миколаївський НВК</t>
  </si>
  <si>
    <t>Лікарський НВК</t>
  </si>
  <si>
    <t>продукти харчування</t>
  </si>
  <si>
    <t>телекомунікаційні послуги</t>
  </si>
  <si>
    <t>оплата електроенергії</t>
  </si>
  <si>
    <t>оплата за природній газ</t>
  </si>
  <si>
    <t>Спеціальний фонд</t>
  </si>
  <si>
    <t>3.</t>
  </si>
  <si>
    <t>Запчастини до шкільного автобуса</t>
  </si>
  <si>
    <t>Бензин та дизпаливо для шкільного автобуса</t>
  </si>
  <si>
    <t>4.</t>
  </si>
  <si>
    <t>5.</t>
  </si>
  <si>
    <t>8.</t>
  </si>
  <si>
    <t>Забезпечення діяльності інших закладів у сфері освіти</t>
  </si>
  <si>
    <t xml:space="preserve">Послуги з тех. обслуговування комп.техніки та програм. забезпечення </t>
  </si>
  <si>
    <t xml:space="preserve">Відшкодування за пільговий проїзд пед.працівників </t>
  </si>
  <si>
    <t>Спеціальний фонд (придбання)</t>
  </si>
  <si>
    <t>Консультаційні послуги з питань проведення процедур закупівель</t>
  </si>
  <si>
    <t>Кровненський старостат</t>
  </si>
  <si>
    <t>Кровненська ЗОШ</t>
  </si>
  <si>
    <t>КДНЗ "Пролісок"</t>
  </si>
  <si>
    <t>Інші заходи у сфері соціального захисту і соціального забезпечення</t>
  </si>
  <si>
    <t>одноразова допомога дитині-сироті</t>
  </si>
  <si>
    <t>надання пакетів оновлення ПК"Курс"</t>
  </si>
  <si>
    <t>послуги по інструментальному контролю ТЗ</t>
  </si>
  <si>
    <t>будівельні матеріали</t>
  </si>
  <si>
    <t>страхування цивільно-правової відповідальності власників транспортних засобів</t>
  </si>
  <si>
    <t>Відшкодування за тех.обслуговування електропостачання</t>
  </si>
  <si>
    <t>Яструбинський старостат</t>
  </si>
  <si>
    <t>Яструбинський НВК</t>
  </si>
  <si>
    <t>тех.підтримка ПЗ</t>
  </si>
  <si>
    <t>послуги з дератизація та дезінсекції</t>
  </si>
  <si>
    <t>медичний огляд працівників</t>
  </si>
  <si>
    <t>Видатки на відрядження</t>
  </si>
  <si>
    <t>Медикаменти</t>
  </si>
  <si>
    <t>витратні матеріали до оргтехніки</t>
  </si>
  <si>
    <t xml:space="preserve">дератизація та дезінсекція </t>
  </si>
  <si>
    <t>поточний ремонт шкільного автобусу</t>
  </si>
  <si>
    <t>Будівництво освітніх установ та закладів</t>
  </si>
  <si>
    <t>канцтовари</t>
  </si>
  <si>
    <t>10.</t>
  </si>
  <si>
    <t>11.</t>
  </si>
  <si>
    <t>шкільна документація</t>
  </si>
  <si>
    <t>навчання персоналу</t>
  </si>
  <si>
    <t>Надання загальної середньої освіти закладами загальної середньої освіти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</si>
  <si>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</si>
  <si>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12.</t>
  </si>
  <si>
    <t>заходи місцевої програми розвитку спорту</t>
  </si>
  <si>
    <t>Надання позашкільної освіти закладами позашкільної освіти, заходи із позашкільної роботи з дітьми</t>
  </si>
  <si>
    <t>тех.обслуговування програмного забезпечення</t>
  </si>
  <si>
    <t>компютерне обладнання</t>
  </si>
  <si>
    <t>Обслуговування програмного забезпечення</t>
  </si>
  <si>
    <t>тех.обслуговування комп.обладнання</t>
  </si>
  <si>
    <t>кубки,медалі</t>
  </si>
  <si>
    <t>форма футбольна</t>
  </si>
  <si>
    <t>спортивне обладнання та інвентар</t>
  </si>
  <si>
    <t>господарські товари</t>
  </si>
  <si>
    <t>мотокоса</t>
  </si>
  <si>
    <t>цілодобове спостереження та тех.обслуговування за пожежною,охоронною сигналізацією</t>
  </si>
  <si>
    <t>медогляд, профобстеження працівників</t>
  </si>
  <si>
    <t>миючі та санітарно-гігієнічні засоби</t>
  </si>
  <si>
    <t>миючі засоби та санітарно-гігієнічні товари</t>
  </si>
  <si>
    <t>одяг для дітей-сиріт</t>
  </si>
  <si>
    <t>поточний ремонт оргтехніки</t>
  </si>
  <si>
    <t>поточний ремонт бензокосарки</t>
  </si>
  <si>
    <t>побутові прилади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</si>
  <si>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</si>
  <si>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6.</t>
  </si>
  <si>
    <t>7.</t>
  </si>
  <si>
    <t>9.</t>
  </si>
  <si>
    <t>запчастини до велосипедів</t>
  </si>
  <si>
    <t>інженерно-консультаційні послуги</t>
  </si>
  <si>
    <t>будівельні матеріали, господарські товари</t>
  </si>
  <si>
    <t>тех.обслуговування та пот.ремонт обладнання котелень, топкових</t>
  </si>
  <si>
    <t>утримання мереж водовідведення</t>
  </si>
  <si>
    <t>лабораторні дослідження води, піску</t>
  </si>
  <si>
    <t>медикаменти</t>
  </si>
  <si>
    <t>кухонне приладдя</t>
  </si>
  <si>
    <t>тех.облуговування охоронної та пожежної сигналізації</t>
  </si>
  <si>
    <t>поточний ремонт та тех. обслуговування обладнання топкових</t>
  </si>
  <si>
    <t>поточний ремонт ганку та дощатої підлоги</t>
  </si>
  <si>
    <t>капітальний ремонт двооверхової будівлі тиру</t>
  </si>
  <si>
    <t>видатки на відрядження</t>
  </si>
  <si>
    <t>інформаційно-консультаційне навчання</t>
  </si>
  <si>
    <t>Інші програми та заходи у сфері освіти</t>
  </si>
  <si>
    <t>стипендія сільського голови обдарованим дітям</t>
  </si>
  <si>
    <t>13.</t>
  </si>
  <si>
    <t>тех.обслуговування газопроводів</t>
  </si>
  <si>
    <t>поточний ремонт огорожі</t>
  </si>
  <si>
    <t>електротехнічні лабор.вимірювання високовольтного кабелю</t>
  </si>
  <si>
    <t>пелети паливні</t>
  </si>
  <si>
    <t>перезарядка вогнегасників</t>
  </si>
  <si>
    <t>котел електричний</t>
  </si>
  <si>
    <t>тех.обслуговування зовнішніх мереж водовідведення</t>
  </si>
  <si>
    <t>послуги з консервування системи опалення</t>
  </si>
  <si>
    <t>поточний ремонт тротуарів та генераторної</t>
  </si>
  <si>
    <t>пререзарядка вогнегасників</t>
  </si>
  <si>
    <t>мастильні засоби, хімічна продукція</t>
  </si>
  <si>
    <t>тех.обслуговування внутрішніх мереж електропостачання, водопостачання</t>
  </si>
  <si>
    <t>поточний ремонт системи  каналізації</t>
  </si>
  <si>
    <t>повірка побутового лічильника газу</t>
  </si>
  <si>
    <t>розробка кошторисної документації</t>
  </si>
  <si>
    <t>капітальний ремонт системи опалення</t>
  </si>
  <si>
    <t>велосипеди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</si>
  <si>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</si>
  <si>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інтерактивні дисплеї</t>
  </si>
  <si>
    <t>14.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</si>
  <si>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</si>
  <si>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15.</t>
  </si>
  <si>
    <t>послуги з організації проведення змагань</t>
  </si>
  <si>
    <t>спортивний інвентар</t>
  </si>
  <si>
    <t>предмети для відзначення та нагородження</t>
  </si>
  <si>
    <t>хімічна продукція</t>
  </si>
  <si>
    <t>каністри</t>
  </si>
  <si>
    <t>вогнегасники</t>
  </si>
  <si>
    <t>тех.обслуговування електрообладнання</t>
  </si>
  <si>
    <t>поточний ремонт підлоги</t>
  </si>
  <si>
    <t>поточний ремонт харчоблоку</t>
  </si>
  <si>
    <t>обслуговування сайту</t>
  </si>
  <si>
    <t>поточний ремонт туалетної кімнати</t>
  </si>
  <si>
    <t>новорічні подарунки</t>
  </si>
  <si>
    <t>акумулятори</t>
  </si>
  <si>
    <t>автомийка</t>
  </si>
  <si>
    <t>жалюзі</t>
  </si>
  <si>
    <t>двері</t>
  </si>
  <si>
    <t>меблі</t>
  </si>
  <si>
    <t>тех.обслуговування та поточний ремонт електрообладнання</t>
  </si>
  <si>
    <t>послуги з обстеження доріг</t>
  </si>
  <si>
    <t>поточний ремонт вхідної групи</t>
  </si>
  <si>
    <t>розпилювання дров</t>
  </si>
  <si>
    <t>заміна дверей</t>
  </si>
  <si>
    <t>виготовлення технічного паспорта, ПКД</t>
  </si>
  <si>
    <t>встановлення системи блискавкозахисту</t>
  </si>
  <si>
    <t>оплата за дрова, пелети</t>
  </si>
  <si>
    <t>ноутбуки</t>
  </si>
  <si>
    <t>капітальний ремонт електрозабезпечення спортивної зали</t>
  </si>
  <si>
    <t>технічний нагляд по капітальний ремонт електрозабезпечення спортивної зали</t>
  </si>
  <si>
    <t>технічний нагляд по капітальний ремонт системи опалення</t>
  </si>
  <si>
    <t>поточний ремонт частини покрівлі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</si>
  <si>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</si>
  <si>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СФ</t>
  </si>
  <si>
    <t xml:space="preserve">Начальник відділу освіти, молоді та спорту </t>
  </si>
  <si>
    <t>Наталія МАКШЕЄВА</t>
  </si>
  <si>
    <t>Головний бухгалтер</t>
  </si>
  <si>
    <t>Надія ОДІНЦОВА</t>
  </si>
  <si>
    <t xml:space="preserve">      Аналіз видатків у галузі освіти і спорту за 12 місяців 2024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</si>
</sst>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Border="1"/>
    <xf numFmtId="0" fontId="0" fillId="3" borderId="0" xfId="0" applyFill="1" applyBorder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/>
    </xf>
    <xf numFmtId="164" fontId="6" fillId="2" borderId="9" xfId="0" applyNumberFormat="1" applyFont="1" applyFill="1" applyBorder="1" applyAlignment="1">
      <alignment vertical="center"/>
    </xf>
    <xf numFmtId="0" fontId="5" fillId="0" borderId="12" xfId="0" applyFont="1" applyBorder="1" applyAlignment="1">
      <alignment horizontal="center" vertical="center" wrapText="1"/>
    </xf>
    <xf numFmtId="4" fontId="5" fillId="0" borderId="12" xfId="0" applyNumberFormat="1" applyFont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 wrapText="1"/>
    </xf>
    <xf numFmtId="164" fontId="4" fillId="3" borderId="6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8" fillId="0" borderId="1" xfId="0" applyFont="1" applyBorder="1" applyAlignment="1">
      <alignment horizontal="justify" vertical="center"/>
    </xf>
    <xf numFmtId="0" fontId="0" fillId="0" borderId="1" xfId="0" applyBorder="1"/>
    <xf numFmtId="0" fontId="7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wrapText="1"/>
    </xf>
    <xf numFmtId="0" fontId="9" fillId="0" borderId="1" xfId="0" applyFont="1" applyBorder="1" applyAlignment="1">
      <alignment vertical="center" wrapText="1"/>
    </xf>
    <xf numFmtId="164" fontId="7" fillId="3" borderId="6" xfId="0" applyNumberFormat="1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165" fontId="4" fillId="3" borderId="3" xfId="0" applyNumberFormat="1" applyFont="1" applyFill="1" applyBorder="1" applyAlignment="1">
      <alignment horizontal="center" vertical="center"/>
    </xf>
    <xf numFmtId="4" fontId="5" fillId="0" borderId="24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164" fontId="0" fillId="0" borderId="0" xfId="0" applyNumberFormat="1" applyBorder="1"/>
    <xf numFmtId="164" fontId="15" fillId="0" borderId="0" xfId="0" applyNumberFormat="1" applyFont="1" applyBorder="1"/>
    <xf numFmtId="164" fontId="0" fillId="0" borderId="0" xfId="0" applyNumberFormat="1" applyFont="1" applyBorder="1"/>
    <xf numFmtId="165" fontId="0" fillId="0" borderId="0" xfId="0" applyNumberFormat="1" applyBorder="1"/>
    <xf numFmtId="4" fontId="5" fillId="0" borderId="4" xfId="0" applyNumberFormat="1" applyFont="1" applyBorder="1" applyAlignment="1">
      <alignment horizontal="center" vertical="center" wrapText="1"/>
    </xf>
    <xf numFmtId="164" fontId="18" fillId="3" borderId="5" xfId="0" applyNumberFormat="1" applyFont="1" applyFill="1" applyBorder="1" applyAlignment="1">
      <alignment horizontal="center" vertical="center"/>
    </xf>
    <xf numFmtId="164" fontId="14" fillId="3" borderId="5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wrapText="1"/>
    </xf>
    <xf numFmtId="4" fontId="7" fillId="3" borderId="1" xfId="0" applyNumberFormat="1" applyFont="1" applyFill="1" applyBorder="1" applyAlignment="1">
      <alignment horizontal="center" vertical="center"/>
    </xf>
    <xf numFmtId="4" fontId="4" fillId="3" borderId="3" xfId="0" applyNumberFormat="1" applyFont="1" applyFill="1" applyBorder="1" applyAlignment="1">
      <alignment horizontal="center" vertical="center"/>
    </xf>
    <xf numFmtId="4" fontId="7" fillId="3" borderId="3" xfId="0" applyNumberFormat="1" applyFont="1" applyFill="1" applyBorder="1" applyAlignment="1">
      <alignment horizontal="center" vertical="center"/>
    </xf>
    <xf numFmtId="4" fontId="16" fillId="3" borderId="3" xfId="0" applyNumberFormat="1" applyFont="1" applyFill="1" applyBorder="1" applyAlignment="1">
      <alignment horizontal="center" vertical="center"/>
    </xf>
    <xf numFmtId="4" fontId="2" fillId="3" borderId="3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4" fontId="14" fillId="3" borderId="1" xfId="0" applyNumberFormat="1" applyFont="1" applyFill="1" applyBorder="1" applyAlignment="1">
      <alignment horizontal="center" vertical="center"/>
    </xf>
    <xf numFmtId="4" fontId="12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13" fillId="3" borderId="1" xfId="0" applyNumberFormat="1" applyFont="1" applyFill="1" applyBorder="1" applyAlignment="1">
      <alignment horizontal="center" vertical="center"/>
    </xf>
    <xf numFmtId="4" fontId="17" fillId="3" borderId="1" xfId="0" applyNumberFormat="1" applyFont="1" applyFill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center" vertical="center"/>
    </xf>
    <xf numFmtId="4" fontId="16" fillId="3" borderId="1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/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0" fillId="0" borderId="1" xfId="0" applyBorder="1" applyAlignment="1">
      <alignment horizontal="left" wrapText="1"/>
    </xf>
    <xf numFmtId="0" fontId="11" fillId="0" borderId="0" xfId="0" applyFont="1" applyAlignment="1">
      <alignment horizontal="center" wrapText="1"/>
    </xf>
    <xf numFmtId="0" fontId="7" fillId="3" borderId="1" xfId="0" applyFont="1" applyFill="1" applyBorder="1" applyAlignment="1">
      <alignment horizontal="left" vertical="center" wrapText="1"/>
    </xf>
    <xf numFmtId="164" fontId="18" fillId="3" borderId="6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1" fillId="0" borderId="10" xfId="0" applyNumberFormat="1" applyFont="1" applyFill="1" applyBorder="1" applyAlignment="1" applyProtection="1">
      <alignment horizontal="left" vertical="top" wrapText="1"/>
    </xf>
    <xf numFmtId="0" fontId="1" fillId="0" borderId="0" xfId="0" applyNumberFormat="1" applyFont="1" applyFill="1" applyBorder="1" applyAlignment="1" applyProtection="1">
      <alignment horizontal="left" vertical="top" wrapText="1"/>
    </xf>
    <xf numFmtId="0" fontId="6" fillId="2" borderId="8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4" fontId="5" fillId="0" borderId="20" xfId="0" applyNumberFormat="1" applyFont="1" applyBorder="1" applyAlignment="1">
      <alignment horizontal="center" vertical="center" wrapText="1"/>
    </xf>
    <xf numFmtId="4" fontId="5" fillId="0" borderId="2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195"/>
  <sheetViews>
    <sheetView tabSelected="1" topLeftCell="A175" zoomScaleNormal="100" workbookViewId="0">
      <selection activeCell="E186" sqref="E186"/>
    </sheetView>
  </sheetViews>
  <sheetFormatPr defaultRowHeight="15" x14ac:dyDescent="0.25"/>
  <cols>
    <col min="1" max="1" width="8" customWidth="1"/>
    <col min="2" max="2" width="9.28515625" customWidth="1"/>
    <col min="3" max="3" width="55.28515625" customWidth="1"/>
    <col min="4" max="4" width="14.140625" customWidth="1"/>
    <col min="5" max="6" width="13.85546875" customWidth="1"/>
    <col min="7" max="7" width="14.7109375" customWidth="1"/>
    <col min="8" max="9" width="13.7109375" customWidth="1"/>
    <col min="10" max="10" width="13.42578125" customWidth="1"/>
    <col min="11" max="11" width="13" customWidth="1"/>
    <col min="12" max="12" width="16.28515625" customWidth="1"/>
    <col min="13" max="13" width="9.85546875" customWidth="1"/>
    <col min="14" max="14" width="12.28515625" bestFit="1" customWidth="1"/>
    <col min="16" max="16" width="10.42578125" bestFit="1" customWidth="1"/>
  </cols>
  <sheetData>
    <row r="2" spans="1:16" ht="19.149999999999999" customHeight="1" x14ac:dyDescent="0.25">
      <c r="A2" s="60" t="s">
        <v>171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1"/>
    </row>
    <row r="3" spans="1:16" ht="12.6" customHeight="1" thickBot="1" x14ac:dyDescent="0.3">
      <c r="A3" s="61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1"/>
      <c r="M3" s="1"/>
    </row>
    <row r="4" spans="1:16" ht="32.450000000000003" customHeight="1" thickBot="1" x14ac:dyDescent="0.3">
      <c r="A4" s="69" t="s">
        <v>1</v>
      </c>
      <c r="B4" s="67" t="s">
        <v>6</v>
      </c>
      <c r="C4" s="65" t="s">
        <v>7</v>
      </c>
      <c r="D4" s="8" t="s">
        <v>2</v>
      </c>
      <c r="E4" s="71" t="s">
        <v>3</v>
      </c>
      <c r="F4" s="72"/>
      <c r="G4" s="9" t="s">
        <v>4</v>
      </c>
      <c r="H4" s="75" t="s">
        <v>44</v>
      </c>
      <c r="I4" s="76"/>
      <c r="J4" s="30" t="s">
        <v>54</v>
      </c>
      <c r="K4" s="73" t="s">
        <v>14</v>
      </c>
      <c r="L4" s="58" t="s">
        <v>5</v>
      </c>
    </row>
    <row r="5" spans="1:16" ht="32.450000000000003" customHeight="1" thickBot="1" x14ac:dyDescent="0.3">
      <c r="A5" s="70"/>
      <c r="B5" s="68"/>
      <c r="C5" s="66"/>
      <c r="D5" s="8" t="s">
        <v>26</v>
      </c>
      <c r="E5" s="8" t="s">
        <v>24</v>
      </c>
      <c r="F5" s="8" t="s">
        <v>25</v>
      </c>
      <c r="G5" s="9" t="s">
        <v>27</v>
      </c>
      <c r="H5" s="23" t="s">
        <v>45</v>
      </c>
      <c r="I5" s="23" t="s">
        <v>46</v>
      </c>
      <c r="J5" s="23" t="s">
        <v>55</v>
      </c>
      <c r="K5" s="74"/>
      <c r="L5" s="59"/>
    </row>
    <row r="6" spans="1:16" s="1" customFormat="1" ht="22.5" customHeight="1" thickBot="1" x14ac:dyDescent="0.3">
      <c r="A6" s="63" t="s">
        <v>13</v>
      </c>
      <c r="B6" s="64"/>
      <c r="C6" s="64"/>
      <c r="D6" s="48">
        <f>D7+D20+D60+D163+D169+D174+D184+D190+D135+D138+D144+D165+D182+D186+D188+D141</f>
        <v>10857114.32</v>
      </c>
      <c r="E6" s="48">
        <f t="shared" ref="E6:K6" si="0">E7+E20+E60+E163+E169+E174+E184+E190+E135+E138+E144+E165+E182+E186+E188+E141</f>
        <v>2192691.4499999997</v>
      </c>
      <c r="F6" s="48">
        <f t="shared" si="0"/>
        <v>6272306.46</v>
      </c>
      <c r="G6" s="48">
        <f t="shared" si="0"/>
        <v>7576534.330000001</v>
      </c>
      <c r="H6" s="48">
        <f t="shared" si="0"/>
        <v>6694465.7199999988</v>
      </c>
      <c r="I6" s="48">
        <f t="shared" si="0"/>
        <v>2332869.16</v>
      </c>
      <c r="J6" s="48">
        <f t="shared" si="0"/>
        <v>1353083.65</v>
      </c>
      <c r="K6" s="48">
        <f t="shared" si="0"/>
        <v>3925670.0900000003</v>
      </c>
      <c r="L6" s="7">
        <f>SUM(D6:K6)</f>
        <v>41204735.18</v>
      </c>
      <c r="N6" s="26">
        <f>L6-L59-N126-L190-L125-L162-L186-L188</f>
        <v>39661830.419999994</v>
      </c>
      <c r="P6" s="1" t="s">
        <v>166</v>
      </c>
    </row>
    <row r="7" spans="1:16" s="1" customFormat="1" ht="13.7" customHeight="1" x14ac:dyDescent="0.25">
      <c r="A7" s="12" t="s">
        <v>15</v>
      </c>
      <c r="B7" s="5">
        <v>610160</v>
      </c>
      <c r="C7" s="6" t="s">
        <v>8</v>
      </c>
      <c r="D7" s="5">
        <f t="shared" ref="D7:J7" si="1">SUM(D8:D18)</f>
        <v>0</v>
      </c>
      <c r="E7" s="5">
        <f t="shared" si="1"/>
        <v>0</v>
      </c>
      <c r="F7" s="5">
        <f t="shared" si="1"/>
        <v>0</v>
      </c>
      <c r="G7" s="5">
        <f t="shared" si="1"/>
        <v>0</v>
      </c>
      <c r="H7" s="5">
        <f t="shared" si="1"/>
        <v>0</v>
      </c>
      <c r="I7" s="5">
        <f t="shared" si="1"/>
        <v>0</v>
      </c>
      <c r="J7" s="5">
        <f t="shared" si="1"/>
        <v>0</v>
      </c>
      <c r="K7" s="22">
        <f>SUM(K8:K19)</f>
        <v>1496276.0600000003</v>
      </c>
      <c r="L7" s="13">
        <f t="shared" ref="L7:L33" si="2">SUM(D7:K7)</f>
        <v>1496276.0600000003</v>
      </c>
      <c r="N7" s="26">
        <f>L7</f>
        <v>1496276.0600000003</v>
      </c>
      <c r="P7" s="26">
        <f>N126+L162+L186+L188+L190</f>
        <v>1506387.53</v>
      </c>
    </row>
    <row r="8" spans="1:16" s="1" customFormat="1" ht="13.7" customHeight="1" x14ac:dyDescent="0.25">
      <c r="A8" s="12"/>
      <c r="B8" s="5"/>
      <c r="C8" s="14" t="s">
        <v>22</v>
      </c>
      <c r="D8" s="36"/>
      <c r="E8" s="36"/>
      <c r="F8" s="36"/>
      <c r="G8" s="36"/>
      <c r="H8" s="37"/>
      <c r="I8" s="37"/>
      <c r="J8" s="37"/>
      <c r="K8" s="38">
        <f>418555.11+100307.03+37204.3+208012.97+385887.75</f>
        <v>1149967.1600000001</v>
      </c>
      <c r="L8" s="20">
        <f t="shared" si="2"/>
        <v>1149967.1600000001</v>
      </c>
    </row>
    <row r="9" spans="1:16" s="1" customFormat="1" ht="13.7" customHeight="1" x14ac:dyDescent="0.25">
      <c r="A9" s="12"/>
      <c r="B9" s="5"/>
      <c r="C9" s="14" t="s">
        <v>21</v>
      </c>
      <c r="D9" s="36"/>
      <c r="E9" s="36"/>
      <c r="F9" s="36"/>
      <c r="G9" s="36"/>
      <c r="H9" s="37"/>
      <c r="I9" s="37"/>
      <c r="J9" s="37"/>
      <c r="K9" s="38">
        <f>94228.36+22067.55+12879.65+41272.45+84895.3</f>
        <v>255343.31</v>
      </c>
      <c r="L9" s="20">
        <f t="shared" si="2"/>
        <v>255343.31</v>
      </c>
    </row>
    <row r="10" spans="1:16" s="1" customFormat="1" ht="13.7" customHeight="1" x14ac:dyDescent="0.25">
      <c r="A10" s="12"/>
      <c r="B10" s="5"/>
      <c r="C10" s="14" t="s">
        <v>65</v>
      </c>
      <c r="D10" s="36"/>
      <c r="E10" s="36"/>
      <c r="F10" s="36"/>
      <c r="G10" s="36"/>
      <c r="H10" s="37"/>
      <c r="I10" s="37"/>
      <c r="J10" s="37"/>
      <c r="K10" s="38">
        <v>10000</v>
      </c>
      <c r="L10" s="20">
        <f t="shared" si="2"/>
        <v>10000</v>
      </c>
    </row>
    <row r="11" spans="1:16" s="1" customFormat="1" ht="13.7" customHeight="1" x14ac:dyDescent="0.25">
      <c r="A11" s="12"/>
      <c r="B11" s="5"/>
      <c r="C11" s="15" t="s">
        <v>16</v>
      </c>
      <c r="D11" s="36"/>
      <c r="E11" s="36"/>
      <c r="F11" s="36"/>
      <c r="G11" s="36"/>
      <c r="H11" s="37"/>
      <c r="I11" s="37"/>
      <c r="J11" s="37"/>
      <c r="K11" s="39">
        <v>5570</v>
      </c>
      <c r="L11" s="20">
        <f t="shared" si="2"/>
        <v>5570</v>
      </c>
    </row>
    <row r="12" spans="1:16" s="1" customFormat="1" ht="13.7" customHeight="1" x14ac:dyDescent="0.25">
      <c r="A12" s="12"/>
      <c r="B12" s="5"/>
      <c r="C12" s="15" t="s">
        <v>109</v>
      </c>
      <c r="D12" s="36"/>
      <c r="E12" s="36"/>
      <c r="F12" s="36"/>
      <c r="G12" s="36"/>
      <c r="H12" s="37"/>
      <c r="I12" s="37"/>
      <c r="J12" s="37"/>
      <c r="K12" s="39">
        <v>6400</v>
      </c>
      <c r="L12" s="20">
        <f t="shared" si="2"/>
        <v>6400</v>
      </c>
    </row>
    <row r="13" spans="1:16" s="1" customFormat="1" ht="13.7" customHeight="1" x14ac:dyDescent="0.25">
      <c r="A13" s="12"/>
      <c r="B13" s="5"/>
      <c r="C13" s="15" t="s">
        <v>17</v>
      </c>
      <c r="D13" s="36"/>
      <c r="E13" s="36"/>
      <c r="F13" s="36"/>
      <c r="G13" s="36"/>
      <c r="H13" s="37"/>
      <c r="I13" s="37"/>
      <c r="J13" s="37"/>
      <c r="K13" s="39">
        <f>2800+8400+5600</f>
        <v>16800</v>
      </c>
      <c r="L13" s="20">
        <f t="shared" si="2"/>
        <v>16800</v>
      </c>
    </row>
    <row r="14" spans="1:16" s="1" customFormat="1" ht="13.7" customHeight="1" x14ac:dyDescent="0.25">
      <c r="A14" s="12"/>
      <c r="B14" s="5"/>
      <c r="C14" s="15" t="s">
        <v>18</v>
      </c>
      <c r="D14" s="36"/>
      <c r="E14" s="36"/>
      <c r="F14" s="36"/>
      <c r="G14" s="36"/>
      <c r="H14" s="37"/>
      <c r="I14" s="37"/>
      <c r="J14" s="37"/>
      <c r="K14" s="39">
        <f>5820+9700+7760</f>
        <v>23280</v>
      </c>
      <c r="L14" s="20">
        <f t="shared" si="2"/>
        <v>23280</v>
      </c>
    </row>
    <row r="15" spans="1:16" s="1" customFormat="1" ht="13.7" customHeight="1" x14ac:dyDescent="0.25">
      <c r="A15" s="12"/>
      <c r="B15" s="5"/>
      <c r="C15" s="16" t="s">
        <v>89</v>
      </c>
      <c r="D15" s="36"/>
      <c r="E15" s="36"/>
      <c r="F15" s="36"/>
      <c r="G15" s="36"/>
      <c r="H15" s="37"/>
      <c r="I15" s="37"/>
      <c r="J15" s="37"/>
      <c r="K15" s="39">
        <v>1630</v>
      </c>
      <c r="L15" s="20">
        <f t="shared" si="2"/>
        <v>1630</v>
      </c>
    </row>
    <row r="16" spans="1:16" s="1" customFormat="1" ht="13.7" customHeight="1" x14ac:dyDescent="0.25">
      <c r="A16" s="12"/>
      <c r="B16" s="5"/>
      <c r="C16" s="16" t="s">
        <v>108</v>
      </c>
      <c r="D16" s="36"/>
      <c r="E16" s="36"/>
      <c r="F16" s="36"/>
      <c r="G16" s="36"/>
      <c r="H16" s="37"/>
      <c r="I16" s="37"/>
      <c r="J16" s="37"/>
      <c r="K16" s="39">
        <f>2445.59</f>
        <v>2445.59</v>
      </c>
      <c r="L16" s="20">
        <f t="shared" si="2"/>
        <v>2445.59</v>
      </c>
    </row>
    <row r="17" spans="1:14" s="1" customFormat="1" ht="13.7" customHeight="1" x14ac:dyDescent="0.25">
      <c r="A17" s="12"/>
      <c r="B17" s="5"/>
      <c r="C17" s="16" t="s">
        <v>19</v>
      </c>
      <c r="D17" s="36"/>
      <c r="E17" s="36"/>
      <c r="F17" s="36"/>
      <c r="G17" s="36"/>
      <c r="H17" s="37"/>
      <c r="I17" s="37"/>
      <c r="J17" s="37"/>
      <c r="K17" s="39">
        <f>114+190+152</f>
        <v>456</v>
      </c>
      <c r="L17" s="20">
        <f t="shared" si="2"/>
        <v>456</v>
      </c>
    </row>
    <row r="18" spans="1:14" s="1" customFormat="1" ht="13.7" customHeight="1" x14ac:dyDescent="0.25">
      <c r="A18" s="12"/>
      <c r="B18" s="5"/>
      <c r="C18" s="16" t="s">
        <v>20</v>
      </c>
      <c r="D18" s="36"/>
      <c r="E18" s="36"/>
      <c r="F18" s="36"/>
      <c r="G18" s="36"/>
      <c r="H18" s="37"/>
      <c r="I18" s="37"/>
      <c r="J18" s="37"/>
      <c r="K18" s="39">
        <f>1296+12660+9228</f>
        <v>23184</v>
      </c>
      <c r="L18" s="20">
        <f t="shared" si="2"/>
        <v>23184</v>
      </c>
    </row>
    <row r="19" spans="1:14" s="1" customFormat="1" ht="13.7" customHeight="1" x14ac:dyDescent="0.25">
      <c r="A19" s="12"/>
      <c r="B19" s="5"/>
      <c r="C19" s="16" t="s">
        <v>53</v>
      </c>
      <c r="D19" s="36"/>
      <c r="E19" s="36"/>
      <c r="F19" s="36"/>
      <c r="G19" s="36"/>
      <c r="H19" s="37"/>
      <c r="I19" s="37"/>
      <c r="J19" s="37"/>
      <c r="K19" s="39">
        <f>300+500+400</f>
        <v>1200</v>
      </c>
      <c r="L19" s="20">
        <f t="shared" si="2"/>
        <v>1200</v>
      </c>
    </row>
    <row r="20" spans="1:14" s="1" customFormat="1" ht="13.7" customHeight="1" x14ac:dyDescent="0.25">
      <c r="A20" s="10" t="s">
        <v>23</v>
      </c>
      <c r="B20" s="3">
        <v>611010</v>
      </c>
      <c r="C20" s="4" t="s">
        <v>9</v>
      </c>
      <c r="D20" s="40">
        <f t="shared" ref="D20:K20" si="3">SUM(D21:D59)</f>
        <v>0</v>
      </c>
      <c r="E20" s="46">
        <f>SUM(E21:E59)</f>
        <v>2192691.4499999997</v>
      </c>
      <c r="F20" s="40">
        <f t="shared" si="3"/>
        <v>0</v>
      </c>
      <c r="G20" s="40">
        <f t="shared" si="3"/>
        <v>0</v>
      </c>
      <c r="H20" s="40">
        <f t="shared" si="3"/>
        <v>0</v>
      </c>
      <c r="I20" s="46">
        <f t="shared" si="3"/>
        <v>2332233.52</v>
      </c>
      <c r="J20" s="40">
        <f t="shared" si="3"/>
        <v>0</v>
      </c>
      <c r="K20" s="40">
        <f t="shared" si="3"/>
        <v>0</v>
      </c>
      <c r="L20" s="57">
        <f t="shared" si="2"/>
        <v>4524924.97</v>
      </c>
      <c r="N20" s="28">
        <f>L20-L59</f>
        <v>4520378.34</v>
      </c>
    </row>
    <row r="21" spans="1:14" s="1" customFormat="1" ht="13.7" customHeight="1" x14ac:dyDescent="0.25">
      <c r="A21" s="10"/>
      <c r="B21" s="3"/>
      <c r="C21" s="14" t="s">
        <v>22</v>
      </c>
      <c r="D21" s="35"/>
      <c r="E21" s="41">
        <v>1119449.28</v>
      </c>
      <c r="F21" s="44"/>
      <c r="G21" s="44"/>
      <c r="H21" s="44"/>
      <c r="I21" s="41">
        <v>1434714.85</v>
      </c>
      <c r="J21" s="44"/>
      <c r="K21" s="45"/>
      <c r="L21" s="32">
        <f t="shared" si="2"/>
        <v>2554164.13</v>
      </c>
    </row>
    <row r="22" spans="1:14" s="1" customFormat="1" ht="13.7" customHeight="1" x14ac:dyDescent="0.25">
      <c r="A22" s="10"/>
      <c r="B22" s="3"/>
      <c r="C22" s="14" t="s">
        <v>21</v>
      </c>
      <c r="D22" s="35"/>
      <c r="E22" s="41">
        <v>249942.95</v>
      </c>
      <c r="F22" s="44"/>
      <c r="G22" s="44"/>
      <c r="H22" s="44"/>
      <c r="I22" s="41">
        <v>326979.46000000002</v>
      </c>
      <c r="J22" s="44"/>
      <c r="K22" s="45"/>
      <c r="L22" s="32">
        <f t="shared" si="2"/>
        <v>576922.41</v>
      </c>
    </row>
    <row r="23" spans="1:14" s="1" customFormat="1" ht="13.7" customHeight="1" x14ac:dyDescent="0.25">
      <c r="A23" s="10"/>
      <c r="B23" s="3"/>
      <c r="C23" s="14" t="s">
        <v>108</v>
      </c>
      <c r="D23" s="35"/>
      <c r="E23" s="44"/>
      <c r="F23" s="44"/>
      <c r="G23" s="44"/>
      <c r="H23" s="44"/>
      <c r="I23" s="41">
        <v>300</v>
      </c>
      <c r="J23" s="44"/>
      <c r="K23" s="45"/>
      <c r="L23" s="32">
        <f t="shared" si="2"/>
        <v>300</v>
      </c>
    </row>
    <row r="24" spans="1:14" s="1" customFormat="1" ht="13.7" customHeight="1" x14ac:dyDescent="0.25">
      <c r="A24" s="10"/>
      <c r="B24" s="3"/>
      <c r="C24" s="16" t="s">
        <v>28</v>
      </c>
      <c r="D24" s="35"/>
      <c r="E24" s="42">
        <v>38385.910000000003</v>
      </c>
      <c r="F24" s="35"/>
      <c r="G24" s="35"/>
      <c r="H24" s="35"/>
      <c r="I24" s="42">
        <v>7339.19</v>
      </c>
      <c r="J24" s="42"/>
      <c r="K24" s="43"/>
      <c r="L24" s="21">
        <f t="shared" si="2"/>
        <v>45725.100000000006</v>
      </c>
      <c r="N24" s="26"/>
    </row>
    <row r="25" spans="1:14" s="1" customFormat="1" ht="13.7" customHeight="1" x14ac:dyDescent="0.25">
      <c r="A25" s="10"/>
      <c r="B25" s="3"/>
      <c r="C25" s="16" t="s">
        <v>146</v>
      </c>
      <c r="D25" s="35"/>
      <c r="E25" s="42">
        <v>3337.6</v>
      </c>
      <c r="F25" s="35"/>
      <c r="G25" s="35"/>
      <c r="H25" s="35"/>
      <c r="I25" s="42">
        <v>3546.2</v>
      </c>
      <c r="J25" s="42"/>
      <c r="K25" s="43"/>
      <c r="L25" s="21">
        <f t="shared" si="2"/>
        <v>6883.7999999999993</v>
      </c>
      <c r="N25" s="26"/>
    </row>
    <row r="26" spans="1:14" s="1" customFormat="1" ht="13.7" customHeight="1" x14ac:dyDescent="0.25">
      <c r="A26" s="10"/>
      <c r="B26" s="3"/>
      <c r="C26" s="16" t="s">
        <v>138</v>
      </c>
      <c r="D26" s="35"/>
      <c r="E26" s="42">
        <v>1500</v>
      </c>
      <c r="F26" s="35"/>
      <c r="G26" s="35"/>
      <c r="H26" s="35"/>
      <c r="I26" s="42"/>
      <c r="J26" s="42"/>
      <c r="K26" s="43"/>
      <c r="L26" s="21">
        <f t="shared" si="2"/>
        <v>1500</v>
      </c>
      <c r="N26" s="26"/>
    </row>
    <row r="27" spans="1:14" s="1" customFormat="1" ht="13.7" customHeight="1" x14ac:dyDescent="0.25">
      <c r="A27" s="10"/>
      <c r="B27" s="3"/>
      <c r="C27" s="16" t="s">
        <v>98</v>
      </c>
      <c r="D27" s="35"/>
      <c r="E27" s="42">
        <f>3455.52+3596.06+730.12+865.92+80.64+652.48+2222.72+166.41+660.32+3867.73+623.44+1690.78+4575.22</f>
        <v>23187.359999999997</v>
      </c>
      <c r="F27" s="35"/>
      <c r="G27" s="35"/>
      <c r="H27" s="35"/>
      <c r="I27" s="42">
        <f>1039.92+68.37+9342.24+6549.3+6424.47+205.28+3001.73+4721.45</f>
        <v>31352.76</v>
      </c>
      <c r="J27" s="42"/>
      <c r="K27" s="43"/>
      <c r="L27" s="21">
        <f t="shared" si="2"/>
        <v>54540.119999999995</v>
      </c>
      <c r="N27" s="26">
        <f>SUM(L26:L34)-L28</f>
        <v>109099.35999999999</v>
      </c>
    </row>
    <row r="28" spans="1:14" s="1" customFormat="1" ht="13.7" customHeight="1" x14ac:dyDescent="0.25">
      <c r="A28" s="10"/>
      <c r="B28" s="3"/>
      <c r="C28" s="16" t="s">
        <v>102</v>
      </c>
      <c r="D28" s="35"/>
      <c r="E28" s="42">
        <f>2379+1160+795.2</f>
        <v>4334.2</v>
      </c>
      <c r="F28" s="35"/>
      <c r="G28" s="35"/>
      <c r="H28" s="35"/>
      <c r="I28" s="42">
        <f>828+420+1494</f>
        <v>2742</v>
      </c>
      <c r="J28" s="42"/>
      <c r="K28" s="43"/>
      <c r="L28" s="21">
        <f t="shared" si="2"/>
        <v>7076.2</v>
      </c>
      <c r="N28" s="26"/>
    </row>
    <row r="29" spans="1:14" s="1" customFormat="1" ht="13.7" customHeight="1" x14ac:dyDescent="0.25">
      <c r="A29" s="10"/>
      <c r="B29" s="3"/>
      <c r="C29" s="16" t="s">
        <v>140</v>
      </c>
      <c r="D29" s="35"/>
      <c r="E29" s="42">
        <v>1200</v>
      </c>
      <c r="F29" s="35"/>
      <c r="G29" s="35"/>
      <c r="H29" s="35"/>
      <c r="I29" s="42">
        <v>1200</v>
      </c>
      <c r="J29" s="42"/>
      <c r="K29" s="43"/>
      <c r="L29" s="21">
        <f t="shared" si="2"/>
        <v>2400</v>
      </c>
      <c r="N29" s="26"/>
    </row>
    <row r="30" spans="1:14" s="1" customFormat="1" ht="13.7" customHeight="1" x14ac:dyDescent="0.25">
      <c r="A30" s="10"/>
      <c r="B30" s="3"/>
      <c r="C30" s="16" t="s">
        <v>86</v>
      </c>
      <c r="D30" s="35"/>
      <c r="E30" s="42">
        <f>2812.2+357.12+89.6+2431.78+1736.76+3994.8</f>
        <v>11422.26</v>
      </c>
      <c r="F30" s="35"/>
      <c r="G30" s="35"/>
      <c r="H30" s="35"/>
      <c r="I30" s="42">
        <f>1577+1021.59+1197.72</f>
        <v>3796.3100000000004</v>
      </c>
      <c r="J30" s="42"/>
      <c r="K30" s="43"/>
      <c r="L30" s="21">
        <f t="shared" si="2"/>
        <v>15218.57</v>
      </c>
      <c r="N30" s="26"/>
    </row>
    <row r="31" spans="1:14" s="1" customFormat="1" ht="13.7" customHeight="1" x14ac:dyDescent="0.25">
      <c r="A31" s="10"/>
      <c r="B31" s="3"/>
      <c r="C31" s="16" t="s">
        <v>91</v>
      </c>
      <c r="D31" s="35"/>
      <c r="E31" s="42"/>
      <c r="F31" s="35"/>
      <c r="G31" s="35"/>
      <c r="H31" s="35"/>
      <c r="I31" s="42">
        <v>2084.67</v>
      </c>
      <c r="J31" s="42"/>
      <c r="K31" s="43"/>
      <c r="L31" s="21">
        <f t="shared" si="2"/>
        <v>2084.67</v>
      </c>
      <c r="N31" s="26"/>
    </row>
    <row r="32" spans="1:14" s="1" customFormat="1" ht="13.7" customHeight="1" x14ac:dyDescent="0.25">
      <c r="A32" s="10"/>
      <c r="B32" s="3"/>
      <c r="C32" s="16" t="s">
        <v>65</v>
      </c>
      <c r="D32" s="35"/>
      <c r="E32" s="42">
        <v>9546</v>
      </c>
      <c r="F32" s="35"/>
      <c r="G32" s="35"/>
      <c r="H32" s="35"/>
      <c r="I32" s="42">
        <f>575+1125+1000+9210</f>
        <v>11910</v>
      </c>
      <c r="J32" s="42"/>
      <c r="K32" s="43"/>
      <c r="L32" s="21">
        <f t="shared" si="2"/>
        <v>21456</v>
      </c>
    </row>
    <row r="33" spans="1:14" s="1" customFormat="1" ht="13.7" customHeight="1" x14ac:dyDescent="0.25">
      <c r="A33" s="10"/>
      <c r="B33" s="3"/>
      <c r="C33" s="16" t="s">
        <v>139</v>
      </c>
      <c r="D33" s="35"/>
      <c r="E33" s="42">
        <v>7360</v>
      </c>
      <c r="F33" s="35"/>
      <c r="G33" s="35"/>
      <c r="H33" s="35"/>
      <c r="I33" s="42">
        <v>3680</v>
      </c>
      <c r="J33" s="42"/>
      <c r="K33" s="43"/>
      <c r="L33" s="21">
        <f t="shared" si="2"/>
        <v>11040</v>
      </c>
    </row>
    <row r="34" spans="1:14" s="1" customFormat="1" ht="13.7" customHeight="1" x14ac:dyDescent="0.25">
      <c r="A34" s="10"/>
      <c r="B34" s="3"/>
      <c r="C34" s="16" t="s">
        <v>61</v>
      </c>
      <c r="D34" s="35"/>
      <c r="E34" s="42"/>
      <c r="F34" s="35"/>
      <c r="G34" s="35"/>
      <c r="H34" s="35"/>
      <c r="I34" s="42">
        <f>520+340</f>
        <v>860</v>
      </c>
      <c r="J34" s="42"/>
      <c r="K34" s="43"/>
      <c r="L34" s="21">
        <f>SUM(D34:K34)</f>
        <v>860</v>
      </c>
    </row>
    <row r="35" spans="1:14" s="1" customFormat="1" ht="33" customHeight="1" x14ac:dyDescent="0.25">
      <c r="A35" s="10"/>
      <c r="B35" s="3"/>
      <c r="C35" s="18" t="s">
        <v>99</v>
      </c>
      <c r="D35" s="35"/>
      <c r="E35" s="35">
        <f>1865+1865+1865+6966.53+2120+5340</f>
        <v>20021.53</v>
      </c>
      <c r="F35" s="35"/>
      <c r="G35" s="35"/>
      <c r="H35" s="35"/>
      <c r="I35" s="35">
        <f>1865+1865+1865+14325.08+6966.54+2120+5340</f>
        <v>34346.620000000003</v>
      </c>
      <c r="J35" s="35"/>
      <c r="K35" s="43"/>
      <c r="L35" s="21">
        <f>SUM(D35:K35)</f>
        <v>54368.15</v>
      </c>
      <c r="N35" s="26">
        <f>SUM(L35:L53)</f>
        <v>452634.51999999996</v>
      </c>
    </row>
    <row r="36" spans="1:14" s="1" customFormat="1" x14ac:dyDescent="0.25">
      <c r="A36" s="10"/>
      <c r="B36" s="3"/>
      <c r="C36" s="18" t="s">
        <v>141</v>
      </c>
      <c r="D36" s="35"/>
      <c r="E36" s="35">
        <v>1600</v>
      </c>
      <c r="F36" s="35"/>
      <c r="G36" s="35"/>
      <c r="H36" s="35"/>
      <c r="I36" s="35">
        <v>1600</v>
      </c>
      <c r="J36" s="35"/>
      <c r="K36" s="43"/>
      <c r="L36" s="21">
        <f t="shared" ref="L36:L37" si="4">SUM(D36:K36)</f>
        <v>3200</v>
      </c>
      <c r="N36" s="26"/>
    </row>
    <row r="37" spans="1:14" s="1" customFormat="1" ht="13.7" customHeight="1" x14ac:dyDescent="0.25">
      <c r="A37" s="10"/>
      <c r="B37" s="3"/>
      <c r="C37" s="16" t="s">
        <v>75</v>
      </c>
      <c r="D37" s="35"/>
      <c r="E37" s="35">
        <f>2100+700+1400</f>
        <v>4200</v>
      </c>
      <c r="F37" s="35"/>
      <c r="G37" s="35"/>
      <c r="H37" s="35"/>
      <c r="I37" s="35">
        <f>700+2100+1400</f>
        <v>4200</v>
      </c>
      <c r="J37" s="35"/>
      <c r="K37" s="43"/>
      <c r="L37" s="21">
        <f t="shared" si="4"/>
        <v>8400</v>
      </c>
      <c r="N37" s="26"/>
    </row>
    <row r="38" spans="1:14" s="1" customFormat="1" ht="13.7" customHeight="1" x14ac:dyDescent="0.25">
      <c r="A38" s="10"/>
      <c r="B38" s="3"/>
      <c r="C38" s="16" t="s">
        <v>113</v>
      </c>
      <c r="D38" s="35"/>
      <c r="E38" s="35">
        <f>1969.74+1928.23</f>
        <v>3897.9700000000003</v>
      </c>
      <c r="F38" s="35"/>
      <c r="G38" s="35"/>
      <c r="H38" s="35"/>
      <c r="I38" s="35">
        <f>1969.74+1928.24</f>
        <v>3897.98</v>
      </c>
      <c r="J38" s="35"/>
      <c r="K38" s="43"/>
      <c r="L38" s="21">
        <f>SUM(D38:K38)</f>
        <v>7795.9500000000007</v>
      </c>
      <c r="N38" s="26"/>
    </row>
    <row r="39" spans="1:14" s="1" customFormat="1" ht="30" x14ac:dyDescent="0.25">
      <c r="A39" s="10"/>
      <c r="B39" s="3"/>
      <c r="C39" s="18" t="s">
        <v>84</v>
      </c>
      <c r="D39" s="35"/>
      <c r="E39" s="35">
        <f>360+720+360</f>
        <v>1440</v>
      </c>
      <c r="F39" s="35"/>
      <c r="G39" s="35"/>
      <c r="H39" s="35"/>
      <c r="I39" s="35">
        <f>120+450+400+120+450+400+120+450+400+120+450+400+120+450+400+120+450+400+360+2550+360+1350+1200</f>
        <v>11640</v>
      </c>
      <c r="J39" s="35"/>
      <c r="K39" s="43"/>
      <c r="L39" s="21">
        <f>SUM(D39:K39)</f>
        <v>13080</v>
      </c>
    </row>
    <row r="40" spans="1:14" s="1" customFormat="1" x14ac:dyDescent="0.25">
      <c r="A40" s="10"/>
      <c r="B40" s="3"/>
      <c r="C40" s="18" t="s">
        <v>101</v>
      </c>
      <c r="D40" s="35"/>
      <c r="E40" s="35">
        <f>1885.8+1641</f>
        <v>3526.8</v>
      </c>
      <c r="F40" s="35"/>
      <c r="G40" s="35"/>
      <c r="H40" s="35"/>
      <c r="I40" s="35">
        <f>243.96+1927.76+1762.38+416.98-1355.11</f>
        <v>2995.9700000000003</v>
      </c>
      <c r="J40" s="35"/>
      <c r="K40" s="43"/>
      <c r="L40" s="21">
        <f>SUM(D40:K40)</f>
        <v>6522.77</v>
      </c>
    </row>
    <row r="41" spans="1:14" s="1" customFormat="1" ht="17.25" customHeight="1" x14ac:dyDescent="0.25">
      <c r="A41" s="10"/>
      <c r="B41" s="3"/>
      <c r="C41" s="18" t="s">
        <v>89</v>
      </c>
      <c r="D41" s="35"/>
      <c r="E41" s="35">
        <v>1190</v>
      </c>
      <c r="F41" s="35"/>
      <c r="G41" s="35"/>
      <c r="H41" s="35"/>
      <c r="I41" s="35"/>
      <c r="J41" s="35"/>
      <c r="K41" s="43"/>
      <c r="L41" s="21">
        <f>SUM(D41:K41)</f>
        <v>1190</v>
      </c>
    </row>
    <row r="42" spans="1:14" s="1" customFormat="1" ht="17.25" customHeight="1" x14ac:dyDescent="0.25">
      <c r="A42" s="10"/>
      <c r="B42" s="3"/>
      <c r="C42" s="18" t="s">
        <v>142</v>
      </c>
      <c r="D42" s="35"/>
      <c r="E42" s="35">
        <v>67748.98</v>
      </c>
      <c r="F42" s="35"/>
      <c r="G42" s="35"/>
      <c r="H42" s="35"/>
      <c r="I42" s="35"/>
      <c r="J42" s="35"/>
      <c r="K42" s="43"/>
      <c r="L42" s="21">
        <f t="shared" ref="L42:L47" si="5">SUM(D42:K42)</f>
        <v>67748.98</v>
      </c>
    </row>
    <row r="43" spans="1:14" s="1" customFormat="1" ht="17.25" customHeight="1" x14ac:dyDescent="0.25">
      <c r="A43" s="10"/>
      <c r="B43" s="3"/>
      <c r="C43" s="18" t="s">
        <v>143</v>
      </c>
      <c r="D43" s="35"/>
      <c r="E43" s="35">
        <v>79275.28</v>
      </c>
      <c r="F43" s="35"/>
      <c r="G43" s="35"/>
      <c r="H43" s="35"/>
      <c r="I43" s="35"/>
      <c r="J43" s="35"/>
      <c r="K43" s="43"/>
      <c r="L43" s="21">
        <f t="shared" si="5"/>
        <v>79275.28</v>
      </c>
    </row>
    <row r="44" spans="1:14" s="1" customFormat="1" ht="17.25" customHeight="1" x14ac:dyDescent="0.25">
      <c r="A44" s="10"/>
      <c r="B44" s="3"/>
      <c r="C44" s="18" t="s">
        <v>145</v>
      </c>
      <c r="D44" s="35"/>
      <c r="E44" s="35"/>
      <c r="F44" s="35"/>
      <c r="G44" s="35"/>
      <c r="H44" s="35"/>
      <c r="I44" s="35">
        <v>59179.26</v>
      </c>
      <c r="J44" s="35"/>
      <c r="K44" s="43"/>
      <c r="L44" s="21">
        <f t="shared" si="5"/>
        <v>59179.26</v>
      </c>
    </row>
    <row r="45" spans="1:14" s="1" customFormat="1" ht="17.25" customHeight="1" x14ac:dyDescent="0.25">
      <c r="A45" s="10"/>
      <c r="B45" s="3"/>
      <c r="C45" s="18" t="s">
        <v>114</v>
      </c>
      <c r="D45" s="35"/>
      <c r="E45" s="35">
        <v>12193.05</v>
      </c>
      <c r="F45" s="35"/>
      <c r="G45" s="35"/>
      <c r="H45" s="35"/>
      <c r="I45" s="35"/>
      <c r="J45" s="35"/>
      <c r="K45" s="43"/>
      <c r="L45" s="21">
        <f t="shared" si="5"/>
        <v>12193.05</v>
      </c>
    </row>
    <row r="46" spans="1:14" s="1" customFormat="1" ht="17.25" customHeight="1" x14ac:dyDescent="0.25">
      <c r="A46" s="10"/>
      <c r="B46" s="3"/>
      <c r="C46" s="18" t="s">
        <v>121</v>
      </c>
      <c r="D46" s="35"/>
      <c r="E46" s="35">
        <f>62056.71+28068.18</f>
        <v>90124.89</v>
      </c>
      <c r="F46" s="35"/>
      <c r="G46" s="35"/>
      <c r="H46" s="35"/>
      <c r="I46" s="35"/>
      <c r="J46" s="35"/>
      <c r="K46" s="43"/>
      <c r="L46" s="21">
        <f t="shared" si="5"/>
        <v>90124.89</v>
      </c>
    </row>
    <row r="47" spans="1:14" s="1" customFormat="1" ht="17.25" customHeight="1" x14ac:dyDescent="0.25">
      <c r="A47" s="10"/>
      <c r="B47" s="3"/>
      <c r="C47" s="18" t="s">
        <v>144</v>
      </c>
      <c r="D47" s="35"/>
      <c r="E47" s="35">
        <v>5570</v>
      </c>
      <c r="F47" s="35"/>
      <c r="G47" s="35"/>
      <c r="H47" s="35"/>
      <c r="I47" s="35"/>
      <c r="J47" s="35"/>
      <c r="K47" s="43"/>
      <c r="L47" s="21">
        <f t="shared" si="5"/>
        <v>5570</v>
      </c>
    </row>
    <row r="48" spans="1:14" s="1" customFormat="1" ht="13.7" customHeight="1" x14ac:dyDescent="0.25">
      <c r="A48" s="10"/>
      <c r="B48" s="3"/>
      <c r="C48" s="16" t="s">
        <v>29</v>
      </c>
      <c r="D48" s="35"/>
      <c r="E48" s="35">
        <f>3960+1320+2640</f>
        <v>7920</v>
      </c>
      <c r="F48" s="35"/>
      <c r="G48" s="35"/>
      <c r="H48" s="35"/>
      <c r="I48" s="35"/>
      <c r="J48" s="35"/>
      <c r="K48" s="43"/>
      <c r="L48" s="21">
        <f t="shared" ref="L48:L57" si="6">SUM(D48:K48)</f>
        <v>7920</v>
      </c>
    </row>
    <row r="49" spans="1:14" s="1" customFormat="1" ht="13.7" customHeight="1" x14ac:dyDescent="0.25">
      <c r="A49" s="10"/>
      <c r="B49" s="3"/>
      <c r="C49" s="16" t="s">
        <v>100</v>
      </c>
      <c r="D49" s="35"/>
      <c r="E49" s="35">
        <v>4880</v>
      </c>
      <c r="F49" s="35"/>
      <c r="G49" s="35"/>
      <c r="H49" s="35"/>
      <c r="I49" s="35"/>
      <c r="J49" s="35"/>
      <c r="K49" s="43"/>
      <c r="L49" s="21">
        <f t="shared" si="6"/>
        <v>4880</v>
      </c>
    </row>
    <row r="50" spans="1:14" s="1" customFormat="1" ht="28.5" customHeight="1" x14ac:dyDescent="0.25">
      <c r="A50" s="10"/>
      <c r="B50" s="3"/>
      <c r="C50" s="54" t="s">
        <v>115</v>
      </c>
      <c r="D50" s="35"/>
      <c r="E50" s="35">
        <v>4062.1</v>
      </c>
      <c r="F50" s="35"/>
      <c r="G50" s="35"/>
      <c r="H50" s="35"/>
      <c r="I50" s="35">
        <v>4062.09</v>
      </c>
      <c r="J50" s="35"/>
      <c r="K50" s="43"/>
      <c r="L50" s="21">
        <f t="shared" si="6"/>
        <v>8124.1900000000005</v>
      </c>
    </row>
    <row r="51" spans="1:14" s="1" customFormat="1" ht="13.7" customHeight="1" x14ac:dyDescent="0.25">
      <c r="A51" s="10"/>
      <c r="B51" s="3"/>
      <c r="C51" s="16" t="s">
        <v>57</v>
      </c>
      <c r="D51" s="35"/>
      <c r="E51" s="35">
        <f>847.8+847.8+847.8+847.8</f>
        <v>3391.2</v>
      </c>
      <c r="F51" s="35"/>
      <c r="G51" s="35"/>
      <c r="H51" s="35"/>
      <c r="I51" s="35">
        <f>847.8+847.8+847.8+847.8</f>
        <v>3391.2</v>
      </c>
      <c r="J51" s="35"/>
      <c r="K51" s="43"/>
      <c r="L51" s="21">
        <f t="shared" si="6"/>
        <v>6782.4</v>
      </c>
    </row>
    <row r="52" spans="1:14" s="1" customFormat="1" ht="13.7" customHeight="1" x14ac:dyDescent="0.25">
      <c r="A52" s="10"/>
      <c r="B52" s="3"/>
      <c r="C52" s="16" t="s">
        <v>117</v>
      </c>
      <c r="D52" s="35"/>
      <c r="E52" s="35">
        <v>2000</v>
      </c>
      <c r="F52" s="35"/>
      <c r="G52" s="35"/>
      <c r="H52" s="35"/>
      <c r="I52" s="35">
        <v>2000</v>
      </c>
      <c r="J52" s="35"/>
      <c r="K52" s="43"/>
      <c r="L52" s="21">
        <f t="shared" si="6"/>
        <v>4000</v>
      </c>
    </row>
    <row r="53" spans="1:14" s="1" customFormat="1" ht="13.7" customHeight="1" x14ac:dyDescent="0.25">
      <c r="A53" s="10"/>
      <c r="B53" s="3"/>
      <c r="C53" s="16" t="s">
        <v>85</v>
      </c>
      <c r="D53" s="35"/>
      <c r="E53" s="35">
        <v>7053.6</v>
      </c>
      <c r="F53" s="35"/>
      <c r="G53" s="35"/>
      <c r="H53" s="35"/>
      <c r="I53" s="35">
        <v>5226</v>
      </c>
      <c r="J53" s="35"/>
      <c r="K53" s="43"/>
      <c r="L53" s="21">
        <f t="shared" si="6"/>
        <v>12279.6</v>
      </c>
    </row>
    <row r="54" spans="1:14" s="1" customFormat="1" ht="13.7" customHeight="1" x14ac:dyDescent="0.25">
      <c r="A54" s="10"/>
      <c r="B54" s="3"/>
      <c r="C54" s="16" t="s">
        <v>69</v>
      </c>
      <c r="D54" s="35"/>
      <c r="E54" s="35">
        <f>895+643+577+1400</f>
        <v>3515</v>
      </c>
      <c r="F54" s="35"/>
      <c r="G54" s="35"/>
      <c r="H54" s="35"/>
      <c r="I54" s="35">
        <f>895+1400</f>
        <v>2295</v>
      </c>
      <c r="J54" s="35"/>
      <c r="K54" s="43"/>
      <c r="L54" s="21">
        <f t="shared" si="6"/>
        <v>5810</v>
      </c>
    </row>
    <row r="55" spans="1:14" s="1" customFormat="1" ht="13.7" customHeight="1" x14ac:dyDescent="0.25">
      <c r="A55" s="10"/>
      <c r="B55" s="3"/>
      <c r="C55" s="16" t="s">
        <v>116</v>
      </c>
      <c r="D55" s="35"/>
      <c r="E55" s="35">
        <f>91410+182820</f>
        <v>274230</v>
      </c>
      <c r="F55" s="35"/>
      <c r="G55" s="35"/>
      <c r="H55" s="35"/>
      <c r="I55" s="35">
        <v>307470</v>
      </c>
      <c r="J55" s="35"/>
      <c r="K55" s="43"/>
      <c r="L55" s="21">
        <f t="shared" si="6"/>
        <v>581700</v>
      </c>
    </row>
    <row r="56" spans="1:14" s="1" customFormat="1" ht="13.7" customHeight="1" x14ac:dyDescent="0.25">
      <c r="A56" s="10"/>
      <c r="B56" s="3"/>
      <c r="C56" s="16" t="s">
        <v>30</v>
      </c>
      <c r="D56" s="35"/>
      <c r="E56" s="41">
        <f>13668.15+4805.42+69570.79+24823.88+8752.07</f>
        <v>121620.31</v>
      </c>
      <c r="F56" s="35"/>
      <c r="G56" s="35"/>
      <c r="H56" s="35"/>
      <c r="I56" s="41">
        <f>32925.97+2166.21+5694.16+4489.76+11752.28</f>
        <v>57028.38</v>
      </c>
      <c r="J56" s="35"/>
      <c r="K56" s="43"/>
      <c r="L56" s="21">
        <f t="shared" si="6"/>
        <v>178648.69</v>
      </c>
    </row>
    <row r="57" spans="1:14" s="1" customFormat="1" ht="13.7" customHeight="1" x14ac:dyDescent="0.25">
      <c r="A57" s="10"/>
      <c r="B57" s="3"/>
      <c r="C57" s="16" t="s">
        <v>31</v>
      </c>
      <c r="D57" s="35"/>
      <c r="E57" s="35">
        <f>173.87+300.07+238.13</f>
        <v>712.06999999999994</v>
      </c>
      <c r="F57" s="35"/>
      <c r="G57" s="35"/>
      <c r="H57" s="35"/>
      <c r="I57" s="35">
        <f>173.86+290.07+238.13</f>
        <v>702.06</v>
      </c>
      <c r="J57" s="35"/>
      <c r="K57" s="43"/>
      <c r="L57" s="21">
        <f t="shared" si="6"/>
        <v>1414.1299999999999</v>
      </c>
    </row>
    <row r="58" spans="1:14" s="1" customFormat="1" ht="13.7" customHeight="1" x14ac:dyDescent="0.25">
      <c r="A58" s="10"/>
      <c r="B58" s="3"/>
      <c r="C58" s="3" t="s">
        <v>32</v>
      </c>
      <c r="D58" s="35"/>
      <c r="E58" s="35"/>
      <c r="F58" s="35"/>
      <c r="G58" s="35"/>
      <c r="H58" s="35"/>
      <c r="I58" s="35"/>
      <c r="J58" s="35"/>
      <c r="K58" s="43"/>
      <c r="L58" s="21"/>
    </row>
    <row r="59" spans="1:14" s="1" customFormat="1" ht="13.7" customHeight="1" x14ac:dyDescent="0.25">
      <c r="A59" s="10"/>
      <c r="B59" s="3"/>
      <c r="C59" s="17" t="s">
        <v>28</v>
      </c>
      <c r="D59" s="35"/>
      <c r="E59" s="42">
        <v>2853.11</v>
      </c>
      <c r="F59" s="35"/>
      <c r="G59" s="35"/>
      <c r="H59" s="35"/>
      <c r="I59" s="42">
        <v>1693.52</v>
      </c>
      <c r="J59" s="42"/>
      <c r="K59" s="43"/>
      <c r="L59" s="21">
        <f t="shared" ref="L59:L102" si="7">SUM(D59:K59)</f>
        <v>4546.63</v>
      </c>
    </row>
    <row r="60" spans="1:14" s="1" customFormat="1" ht="12.6" customHeight="1" x14ac:dyDescent="0.25">
      <c r="A60" s="10" t="s">
        <v>33</v>
      </c>
      <c r="B60" s="3">
        <v>611021</v>
      </c>
      <c r="C60" s="4" t="s">
        <v>10</v>
      </c>
      <c r="D60" s="46">
        <f>SUM(D61:D134)</f>
        <v>5522241.4600000009</v>
      </c>
      <c r="E60" s="46">
        <f t="shared" ref="E60:K60" si="8">SUM(E61:E134)</f>
        <v>0</v>
      </c>
      <c r="F60" s="46">
        <f t="shared" si="8"/>
        <v>2631907.6600000006</v>
      </c>
      <c r="G60" s="46">
        <f t="shared" si="8"/>
        <v>4354592.9500000011</v>
      </c>
      <c r="H60" s="46">
        <f>SUM(H61:H134)</f>
        <v>3423542.1599999992</v>
      </c>
      <c r="I60" s="46">
        <f t="shared" si="8"/>
        <v>0</v>
      </c>
      <c r="J60" s="46">
        <f t="shared" si="8"/>
        <v>1345428.15</v>
      </c>
      <c r="K60" s="46">
        <f t="shared" si="8"/>
        <v>0</v>
      </c>
      <c r="L60" s="31">
        <f>SUM(D60:K60)</f>
        <v>17277712.379999999</v>
      </c>
      <c r="N60" s="27">
        <f>L60-N126-L125</f>
        <v>16386264.319999998</v>
      </c>
    </row>
    <row r="61" spans="1:14" s="1" customFormat="1" ht="12.6" customHeight="1" x14ac:dyDescent="0.25">
      <c r="A61" s="10"/>
      <c r="B61" s="3"/>
      <c r="C61" s="14" t="s">
        <v>22</v>
      </c>
      <c r="D61" s="41">
        <v>2545260.41</v>
      </c>
      <c r="E61" s="41"/>
      <c r="F61" s="41">
        <v>1345457.39</v>
      </c>
      <c r="G61" s="41">
        <v>2049870.94</v>
      </c>
      <c r="H61" s="41">
        <v>1712370.14</v>
      </c>
      <c r="I61" s="41"/>
      <c r="J61" s="41">
        <v>882258.49</v>
      </c>
      <c r="K61" s="47"/>
      <c r="L61" s="32">
        <f t="shared" si="7"/>
        <v>8535217.3699999992</v>
      </c>
    </row>
    <row r="62" spans="1:14" s="1" customFormat="1" ht="12.6" customHeight="1" x14ac:dyDescent="0.25">
      <c r="A62" s="10"/>
      <c r="B62" s="3"/>
      <c r="C62" s="14" t="s">
        <v>21</v>
      </c>
      <c r="D62" s="41">
        <v>559336.51</v>
      </c>
      <c r="E62" s="41"/>
      <c r="F62" s="41">
        <v>305995.46000000002</v>
      </c>
      <c r="G62" s="41">
        <v>476722.01</v>
      </c>
      <c r="H62" s="41">
        <v>364240.54</v>
      </c>
      <c r="I62" s="41"/>
      <c r="J62" s="41">
        <v>186635.08</v>
      </c>
      <c r="K62" s="47"/>
      <c r="L62" s="32">
        <f t="shared" si="7"/>
        <v>1892929.6</v>
      </c>
    </row>
    <row r="63" spans="1:14" s="1" customFormat="1" ht="12.6" customHeight="1" x14ac:dyDescent="0.25">
      <c r="A63" s="10"/>
      <c r="B63" s="3"/>
      <c r="C63" s="16" t="s">
        <v>28</v>
      </c>
      <c r="D63" s="42">
        <v>54095.97</v>
      </c>
      <c r="E63" s="42"/>
      <c r="F63" s="42">
        <v>118234.44</v>
      </c>
      <c r="G63" s="42">
        <v>22336.959999999999</v>
      </c>
      <c r="H63" s="42">
        <v>65487.35</v>
      </c>
      <c r="I63" s="35"/>
      <c r="J63" s="35"/>
      <c r="K63" s="43"/>
      <c r="L63" s="21">
        <f t="shared" si="7"/>
        <v>260154.72</v>
      </c>
    </row>
    <row r="64" spans="1:14" s="1" customFormat="1" ht="12.6" customHeight="1" x14ac:dyDescent="0.25">
      <c r="A64" s="10"/>
      <c r="B64" s="3"/>
      <c r="C64" s="16" t="s">
        <v>59</v>
      </c>
      <c r="D64" s="42">
        <f>3600+4500+1800</f>
        <v>9900</v>
      </c>
      <c r="E64" s="42"/>
      <c r="F64" s="42">
        <v>1500</v>
      </c>
      <c r="G64" s="42">
        <f>1935+900+1500+884.23+300</f>
        <v>5519.23</v>
      </c>
      <c r="H64" s="42">
        <f>1500+1349.33+1500+300</f>
        <v>4649.33</v>
      </c>
      <c r="I64" s="35"/>
      <c r="J64" s="35"/>
      <c r="K64" s="43"/>
      <c r="L64" s="21">
        <f t="shared" si="7"/>
        <v>21568.559999999998</v>
      </c>
    </row>
    <row r="65" spans="1:16" s="1" customFormat="1" ht="12.6" customHeight="1" x14ac:dyDescent="0.25">
      <c r="A65" s="10"/>
      <c r="B65" s="3"/>
      <c r="C65" s="16" t="s">
        <v>60</v>
      </c>
      <c r="D65" s="42">
        <f>454+1380+1412.58+190</f>
        <v>3436.58</v>
      </c>
      <c r="E65" s="42"/>
      <c r="F65" s="42">
        <f>1104+420</f>
        <v>1524</v>
      </c>
      <c r="G65" s="42">
        <f>721.56+552</f>
        <v>1273.56</v>
      </c>
      <c r="H65" s="42">
        <f>1012+100+793+1006</f>
        <v>2911</v>
      </c>
      <c r="I65" s="35"/>
      <c r="J65" s="35"/>
      <c r="K65" s="43"/>
      <c r="L65" s="21">
        <f t="shared" si="7"/>
        <v>9145.14</v>
      </c>
    </row>
    <row r="66" spans="1:16" s="1" customFormat="1" ht="12.6" customHeight="1" x14ac:dyDescent="0.25">
      <c r="A66" s="10"/>
      <c r="B66" s="3"/>
      <c r="C66" s="16" t="s">
        <v>34</v>
      </c>
      <c r="D66" s="35">
        <f>9300+4400</f>
        <v>13700</v>
      </c>
      <c r="E66" s="35"/>
      <c r="F66" s="35">
        <f>14700+1100+2480+26800+1400</f>
        <v>46480</v>
      </c>
      <c r="G66" s="35">
        <f>3840+13500+750+9400</f>
        <v>27490</v>
      </c>
      <c r="H66" s="35">
        <f>56280+13100+6000+2300+3500</f>
        <v>81180</v>
      </c>
      <c r="I66" s="35"/>
      <c r="J66" s="35"/>
      <c r="K66" s="43"/>
      <c r="L66" s="21">
        <f t="shared" si="7"/>
        <v>168850</v>
      </c>
      <c r="N66" s="26">
        <f>SUM(L66:L87)-L80</f>
        <v>1554212.14</v>
      </c>
      <c r="P66" s="26">
        <f>SUM(H65:H87)</f>
        <v>462998.7</v>
      </c>
    </row>
    <row r="67" spans="1:16" s="1" customFormat="1" ht="12.6" customHeight="1" x14ac:dyDescent="0.25">
      <c r="A67" s="10"/>
      <c r="B67" s="3"/>
      <c r="C67" s="16" t="s">
        <v>148</v>
      </c>
      <c r="D67" s="35">
        <v>14240</v>
      </c>
      <c r="E67" s="35"/>
      <c r="F67" s="35"/>
      <c r="G67" s="35"/>
      <c r="H67" s="35"/>
      <c r="I67" s="35"/>
      <c r="J67" s="35"/>
      <c r="K67" s="43"/>
      <c r="L67" s="21">
        <f t="shared" si="7"/>
        <v>14240</v>
      </c>
      <c r="N67" s="26"/>
      <c r="P67" s="26"/>
    </row>
    <row r="68" spans="1:16" s="1" customFormat="1" ht="12.6" customHeight="1" x14ac:dyDescent="0.25">
      <c r="A68" s="10"/>
      <c r="B68" s="3"/>
      <c r="C68" s="16" t="s">
        <v>147</v>
      </c>
      <c r="D68" s="35"/>
      <c r="E68" s="35"/>
      <c r="F68" s="35"/>
      <c r="G68" s="35"/>
      <c r="H68" s="35">
        <f>14300+4400</f>
        <v>18700</v>
      </c>
      <c r="I68" s="35"/>
      <c r="J68" s="35"/>
      <c r="K68" s="43"/>
      <c r="L68" s="21">
        <f t="shared" si="7"/>
        <v>18700</v>
      </c>
      <c r="N68" s="26"/>
      <c r="P68" s="26"/>
    </row>
    <row r="69" spans="1:16" s="1" customFormat="1" ht="12.6" customHeight="1" x14ac:dyDescent="0.25">
      <c r="A69" s="10"/>
      <c r="B69" s="3"/>
      <c r="C69" s="16" t="s">
        <v>35</v>
      </c>
      <c r="D69" s="41">
        <v>261204</v>
      </c>
      <c r="E69" s="41"/>
      <c r="F69" s="41">
        <v>9312</v>
      </c>
      <c r="G69" s="41">
        <v>107322</v>
      </c>
      <c r="H69" s="41">
        <v>111432</v>
      </c>
      <c r="I69" s="35"/>
      <c r="J69" s="35"/>
      <c r="K69" s="43"/>
      <c r="L69" s="21">
        <f t="shared" si="7"/>
        <v>489270</v>
      </c>
      <c r="N69" s="26"/>
    </row>
    <row r="70" spans="1:16" s="1" customFormat="1" ht="12.6" customHeight="1" x14ac:dyDescent="0.25">
      <c r="A70" s="10"/>
      <c r="B70" s="3"/>
      <c r="C70" s="16" t="s">
        <v>123</v>
      </c>
      <c r="D70" s="35">
        <f>5860+7000+640+7680+1500</f>
        <v>22680</v>
      </c>
      <c r="E70" s="35"/>
      <c r="F70" s="35">
        <f>2240+640+1500</f>
        <v>4380</v>
      </c>
      <c r="G70" s="35">
        <f>150+640+640+1500</f>
        <v>2930</v>
      </c>
      <c r="H70" s="35">
        <f>640+640+2150+1500+1500</f>
        <v>6430</v>
      </c>
      <c r="I70" s="35"/>
      <c r="J70" s="35">
        <f>320</f>
        <v>320</v>
      </c>
      <c r="K70" s="43"/>
      <c r="L70" s="21">
        <f>SUM(D70:K70)</f>
        <v>36740</v>
      </c>
      <c r="N70" s="26"/>
    </row>
    <row r="71" spans="1:16" s="1" customFormat="1" ht="12.6" customHeight="1" x14ac:dyDescent="0.25">
      <c r="A71" s="10"/>
      <c r="B71" s="3"/>
      <c r="C71" s="16" t="s">
        <v>82</v>
      </c>
      <c r="D71" s="35">
        <f>1719.6+1110.16+4386.53+4350+3805.71</f>
        <v>15372</v>
      </c>
      <c r="E71" s="35"/>
      <c r="F71" s="35">
        <f>373.89+5062.49+5000+2193.15</f>
        <v>12629.53</v>
      </c>
      <c r="G71" s="35">
        <f>1140+670.32+727.58+865+1001+934.44</f>
        <v>5338.34</v>
      </c>
      <c r="H71" s="35">
        <f>529+5042.5+39.2+4398.36+740.62+52.08</f>
        <v>10801.76</v>
      </c>
      <c r="I71" s="35"/>
      <c r="J71" s="35"/>
      <c r="K71" s="43"/>
      <c r="L71" s="21">
        <f t="shared" si="7"/>
        <v>44141.63</v>
      </c>
      <c r="N71" s="26"/>
    </row>
    <row r="72" spans="1:16" s="1" customFormat="1" ht="12.6" customHeight="1" x14ac:dyDescent="0.25">
      <c r="A72" s="10"/>
      <c r="B72" s="3"/>
      <c r="C72" s="16" t="s">
        <v>51</v>
      </c>
      <c r="D72" s="35">
        <f>1249.72+9210.56+6156.84+4281.6+703+13382.81+1542.54+75202.22+21594.7+8425.52</f>
        <v>141749.51</v>
      </c>
      <c r="E72" s="35"/>
      <c r="F72" s="35">
        <f>169.9+12212.54+6307.4+703+6582+6797.67+16767.83</f>
        <v>49540.340000000004</v>
      </c>
      <c r="G72" s="35">
        <f>3625.62+6936.79+14917.84+4970.02</f>
        <v>30450.27</v>
      </c>
      <c r="H72" s="35">
        <f>13752.8+15189.03+771+4100+2070+218.51+867.38+2606.46</f>
        <v>39575.18</v>
      </c>
      <c r="I72" s="35"/>
      <c r="J72" s="35"/>
      <c r="K72" s="43"/>
      <c r="L72" s="21">
        <f t="shared" si="7"/>
        <v>261315.3</v>
      </c>
    </row>
    <row r="73" spans="1:16" s="1" customFormat="1" ht="12.6" customHeight="1" x14ac:dyDescent="0.25">
      <c r="A73" s="10"/>
      <c r="B73" s="3"/>
      <c r="C73" s="16" t="s">
        <v>140</v>
      </c>
      <c r="D73" s="35">
        <v>1200</v>
      </c>
      <c r="E73" s="35"/>
      <c r="F73" s="35">
        <v>1200</v>
      </c>
      <c r="G73" s="35">
        <v>1200</v>
      </c>
      <c r="H73" s="35">
        <v>1200</v>
      </c>
      <c r="I73" s="35"/>
      <c r="J73" s="35"/>
      <c r="K73" s="43"/>
      <c r="L73" s="21">
        <f t="shared" si="7"/>
        <v>4800</v>
      </c>
    </row>
    <row r="74" spans="1:16" s="1" customFormat="1" ht="12.6" customHeight="1" x14ac:dyDescent="0.25">
      <c r="A74" s="10"/>
      <c r="B74" s="3"/>
      <c r="C74" s="16" t="s">
        <v>149</v>
      </c>
      <c r="D74" s="35">
        <v>17940</v>
      </c>
      <c r="E74" s="35"/>
      <c r="F74" s="35"/>
      <c r="G74" s="35">
        <v>17295</v>
      </c>
      <c r="H74" s="35"/>
      <c r="I74" s="35"/>
      <c r="J74" s="35"/>
      <c r="K74" s="43"/>
      <c r="L74" s="21">
        <f t="shared" si="7"/>
        <v>35235</v>
      </c>
    </row>
    <row r="75" spans="1:16" s="1" customFormat="1" ht="12.6" customHeight="1" x14ac:dyDescent="0.25">
      <c r="A75" s="10"/>
      <c r="B75" s="3"/>
      <c r="C75" s="16" t="s">
        <v>150</v>
      </c>
      <c r="D75" s="35"/>
      <c r="E75" s="35"/>
      <c r="F75" s="35"/>
      <c r="G75" s="35"/>
      <c r="H75" s="35">
        <v>99800</v>
      </c>
      <c r="I75" s="35"/>
      <c r="J75" s="35"/>
      <c r="K75" s="43"/>
      <c r="L75" s="21">
        <f t="shared" si="7"/>
        <v>99800</v>
      </c>
    </row>
    <row r="76" spans="1:16" s="1" customFormat="1" ht="12.6" customHeight="1" x14ac:dyDescent="0.25">
      <c r="A76" s="10"/>
      <c r="B76" s="3"/>
      <c r="C76" s="16" t="s">
        <v>103</v>
      </c>
      <c r="D76" s="35"/>
      <c r="E76" s="35"/>
      <c r="F76" s="35">
        <v>1272.27</v>
      </c>
      <c r="G76" s="35"/>
      <c r="H76" s="35">
        <f>5195.29+17414.06+4236.99+3029.84+7367.39</f>
        <v>37243.570000000007</v>
      </c>
      <c r="I76" s="35"/>
      <c r="J76" s="35">
        <v>2505.25</v>
      </c>
      <c r="K76" s="43"/>
      <c r="L76" s="21">
        <f t="shared" si="7"/>
        <v>41021.090000000004</v>
      </c>
    </row>
    <row r="77" spans="1:16" s="1" customFormat="1" ht="12.6" customHeight="1" x14ac:dyDescent="0.25">
      <c r="A77" s="10"/>
      <c r="B77" s="3"/>
      <c r="C77" s="16" t="s">
        <v>76</v>
      </c>
      <c r="D77" s="35"/>
      <c r="E77" s="35"/>
      <c r="F77" s="35"/>
      <c r="G77" s="35"/>
      <c r="H77" s="35">
        <v>620</v>
      </c>
      <c r="I77" s="35"/>
      <c r="J77" s="35"/>
      <c r="K77" s="43"/>
      <c r="L77" s="21">
        <f t="shared" si="7"/>
        <v>620</v>
      </c>
    </row>
    <row r="78" spans="1:16" s="1" customFormat="1" ht="12.6" customHeight="1" x14ac:dyDescent="0.25">
      <c r="A78" s="10"/>
      <c r="B78" s="3"/>
      <c r="C78" s="16" t="s">
        <v>68</v>
      </c>
      <c r="D78" s="35">
        <f>2762</f>
        <v>2762</v>
      </c>
      <c r="E78" s="35"/>
      <c r="F78" s="35">
        <v>1715</v>
      </c>
      <c r="G78" s="35">
        <v>786</v>
      </c>
      <c r="H78" s="35">
        <v>1000</v>
      </c>
      <c r="I78" s="35"/>
      <c r="J78" s="35"/>
      <c r="K78" s="43"/>
      <c r="L78" s="21">
        <f t="shared" si="7"/>
        <v>6263</v>
      </c>
      <c r="N78" s="26"/>
    </row>
    <row r="79" spans="1:16" s="1" customFormat="1" ht="12.6" customHeight="1" x14ac:dyDescent="0.25">
      <c r="A79" s="10"/>
      <c r="B79" s="3"/>
      <c r="C79" s="16" t="s">
        <v>65</v>
      </c>
      <c r="D79" s="35">
        <f>229+1365+165+1558+286+417+10000</f>
        <v>14020</v>
      </c>
      <c r="E79" s="35"/>
      <c r="F79" s="35">
        <f>3085+550+9783</f>
        <v>13418</v>
      </c>
      <c r="G79" s="35">
        <v>7500</v>
      </c>
      <c r="H79" s="35">
        <f>1333+7500</f>
        <v>8833</v>
      </c>
      <c r="I79" s="35"/>
      <c r="J79" s="35"/>
      <c r="K79" s="43"/>
      <c r="L79" s="21">
        <f t="shared" si="7"/>
        <v>43771</v>
      </c>
      <c r="N79" s="26"/>
    </row>
    <row r="80" spans="1:16" s="1" customFormat="1" ht="12.6" customHeight="1" x14ac:dyDescent="0.25">
      <c r="A80" s="10"/>
      <c r="B80" s="3"/>
      <c r="C80" s="16" t="s">
        <v>146</v>
      </c>
      <c r="D80" s="35">
        <v>10430</v>
      </c>
      <c r="E80" s="35"/>
      <c r="F80" s="35">
        <v>4589.2</v>
      </c>
      <c r="G80" s="35">
        <v>7092.4</v>
      </c>
      <c r="H80" s="35">
        <v>6466.6</v>
      </c>
      <c r="I80" s="35"/>
      <c r="J80" s="35"/>
      <c r="K80" s="43"/>
      <c r="L80" s="21">
        <f t="shared" si="7"/>
        <v>28578.199999999997</v>
      </c>
      <c r="N80" s="26"/>
    </row>
    <row r="81" spans="1:16" s="1" customFormat="1" ht="12.6" customHeight="1" x14ac:dyDescent="0.25">
      <c r="A81" s="10"/>
      <c r="B81" s="3"/>
      <c r="C81" s="16" t="s">
        <v>88</v>
      </c>
      <c r="D81" s="35">
        <v>15000</v>
      </c>
      <c r="E81" s="35"/>
      <c r="F81" s="35">
        <v>20000</v>
      </c>
      <c r="G81" s="35">
        <v>15000</v>
      </c>
      <c r="H81" s="35"/>
      <c r="I81" s="35"/>
      <c r="J81" s="35"/>
      <c r="K81" s="43"/>
      <c r="L81" s="21">
        <f t="shared" si="7"/>
        <v>50000</v>
      </c>
      <c r="N81" s="26"/>
    </row>
    <row r="82" spans="1:16" s="1" customFormat="1" ht="12.6" customHeight="1" x14ac:dyDescent="0.25">
      <c r="A82" s="10"/>
      <c r="B82" s="3"/>
      <c r="C82" s="16" t="s">
        <v>87</v>
      </c>
      <c r="D82" s="35">
        <f>3693+1413.48+5909.95+1026.77+828.36</f>
        <v>12871.560000000001</v>
      </c>
      <c r="E82" s="35"/>
      <c r="F82" s="35">
        <f>1288.6+1262+2171.04+2748.26</f>
        <v>7469.9</v>
      </c>
      <c r="G82" s="35">
        <f>2212.84+2052.01</f>
        <v>4264.8500000000004</v>
      </c>
      <c r="H82" s="35">
        <f>251.32+1193.27+253.1+1401+1351.67+435.23</f>
        <v>4885.59</v>
      </c>
      <c r="I82" s="35"/>
      <c r="J82" s="35">
        <f>984.37+1241.4</f>
        <v>2225.77</v>
      </c>
      <c r="K82" s="43"/>
      <c r="L82" s="21">
        <f t="shared" si="7"/>
        <v>31717.67</v>
      </c>
    </row>
    <row r="83" spans="1:16" s="1" customFormat="1" ht="12.6" customHeight="1" x14ac:dyDescent="0.25">
      <c r="A83" s="10"/>
      <c r="B83" s="3"/>
      <c r="C83" s="16" t="s">
        <v>91</v>
      </c>
      <c r="D83" s="35">
        <f>1350+16500</f>
        <v>17850</v>
      </c>
      <c r="E83" s="35"/>
      <c r="F83" s="35"/>
      <c r="G83" s="35">
        <f>966.53</f>
        <v>966.53</v>
      </c>
      <c r="H83" s="35"/>
      <c r="I83" s="35"/>
      <c r="J83" s="35">
        <f>2748.26+3232.66</f>
        <v>5980.92</v>
      </c>
      <c r="K83" s="43"/>
      <c r="L83" s="21">
        <f t="shared" si="7"/>
        <v>24797.449999999997</v>
      </c>
    </row>
    <row r="84" spans="1:16" s="1" customFormat="1" ht="12.6" customHeight="1" x14ac:dyDescent="0.25">
      <c r="A84" s="10"/>
      <c r="B84" s="3"/>
      <c r="C84" s="16" t="s">
        <v>139</v>
      </c>
      <c r="D84" s="35">
        <v>5520</v>
      </c>
      <c r="E84" s="35"/>
      <c r="F84" s="35">
        <v>5520</v>
      </c>
      <c r="G84" s="35">
        <v>5520</v>
      </c>
      <c r="H84" s="35">
        <v>5520</v>
      </c>
      <c r="I84" s="35"/>
      <c r="J84" s="35"/>
      <c r="K84" s="43"/>
      <c r="L84" s="21">
        <f t="shared" si="7"/>
        <v>22080</v>
      </c>
    </row>
    <row r="85" spans="1:16" s="1" customFormat="1" ht="12.6" customHeight="1" x14ac:dyDescent="0.25">
      <c r="A85" s="10"/>
      <c r="B85" s="3"/>
      <c r="C85" s="16" t="s">
        <v>83</v>
      </c>
      <c r="D85" s="35"/>
      <c r="E85" s="35"/>
      <c r="F85" s="35"/>
      <c r="G85" s="35">
        <v>4980</v>
      </c>
      <c r="H85" s="35"/>
      <c r="I85" s="35"/>
      <c r="J85" s="35"/>
      <c r="K85" s="43"/>
      <c r="L85" s="21">
        <f t="shared" si="7"/>
        <v>4980</v>
      </c>
    </row>
    <row r="86" spans="1:16" s="1" customFormat="1" ht="12.6" customHeight="1" x14ac:dyDescent="0.25">
      <c r="A86" s="10"/>
      <c r="B86" s="3"/>
      <c r="C86" s="16" t="s">
        <v>118</v>
      </c>
      <c r="D86" s="35"/>
      <c r="E86" s="35"/>
      <c r="F86" s="35"/>
      <c r="G86" s="35"/>
      <c r="H86" s="35"/>
      <c r="I86" s="35"/>
      <c r="J86" s="35">
        <v>13000</v>
      </c>
      <c r="K86" s="43"/>
      <c r="L86" s="21">
        <f t="shared" si="7"/>
        <v>13000</v>
      </c>
    </row>
    <row r="87" spans="1:16" s="1" customFormat="1" ht="12.6" customHeight="1" x14ac:dyDescent="0.25">
      <c r="A87" s="10"/>
      <c r="B87" s="3"/>
      <c r="C87" s="16" t="s">
        <v>151</v>
      </c>
      <c r="D87" s="35">
        <v>27500</v>
      </c>
      <c r="E87" s="35"/>
      <c r="F87" s="35">
        <f>42250+26400</f>
        <v>68650</v>
      </c>
      <c r="G87" s="35">
        <f>8320+12000</f>
        <v>20320</v>
      </c>
      <c r="H87" s="35">
        <v>26400</v>
      </c>
      <c r="I87" s="35"/>
      <c r="J87" s="35"/>
      <c r="K87" s="43"/>
      <c r="L87" s="21">
        <f t="shared" si="7"/>
        <v>142870</v>
      </c>
    </row>
    <row r="88" spans="1:16" s="1" customFormat="1" ht="12.6" customHeight="1" x14ac:dyDescent="0.25">
      <c r="A88" s="10"/>
      <c r="B88" s="3"/>
      <c r="C88" s="16" t="s">
        <v>69</v>
      </c>
      <c r="D88" s="35">
        <f>1935+895+577+577+2800+4550</f>
        <v>11334</v>
      </c>
      <c r="E88" s="35"/>
      <c r="F88" s="35">
        <f>1935+895</f>
        <v>2830</v>
      </c>
      <c r="G88" s="35">
        <f>1935+895+2275</f>
        <v>5105</v>
      </c>
      <c r="H88" s="35">
        <f>1935+895+786+2275</f>
        <v>5891</v>
      </c>
      <c r="I88" s="35"/>
      <c r="J88" s="35"/>
      <c r="K88" s="43"/>
      <c r="L88" s="21">
        <f>SUM(D88:K88)</f>
        <v>25160</v>
      </c>
    </row>
    <row r="89" spans="1:16" s="1" customFormat="1" ht="12.6" customHeight="1" x14ac:dyDescent="0.25">
      <c r="A89" s="10"/>
      <c r="B89" s="3"/>
      <c r="C89" s="16" t="s">
        <v>157</v>
      </c>
      <c r="D89" s="35">
        <v>14800</v>
      </c>
      <c r="E89" s="35"/>
      <c r="F89" s="35">
        <f>78000+2800</f>
        <v>80800</v>
      </c>
      <c r="G89" s="35">
        <f>2800+14910</f>
        <v>17710</v>
      </c>
      <c r="H89" s="35">
        <f>2800+700</f>
        <v>3500</v>
      </c>
      <c r="I89" s="35"/>
      <c r="J89" s="35"/>
      <c r="K89" s="43"/>
      <c r="L89" s="21">
        <f t="shared" si="7"/>
        <v>116810</v>
      </c>
    </row>
    <row r="90" spans="1:16" s="1" customFormat="1" ht="26.25" customHeight="1" x14ac:dyDescent="0.25">
      <c r="A90" s="10"/>
      <c r="B90" s="3"/>
      <c r="C90" s="18" t="s">
        <v>105</v>
      </c>
      <c r="D90" s="35">
        <f>2111+2111+23252.98+6966.53+2098.88+2111+2511.25+8043.75</f>
        <v>49206.39</v>
      </c>
      <c r="E90" s="35"/>
      <c r="F90" s="35">
        <f>6966.53+4222+2098.88+2111+2511.25+8043.75</f>
        <v>25953.41</v>
      </c>
      <c r="G90" s="35">
        <f>6966.53+4222+2098.88+2111+2511.25+16076.56+8043.75</f>
        <v>42029.97</v>
      </c>
      <c r="H90" s="35">
        <f>30027.59+4222+6966.53+208.89+2111+8043.75</f>
        <v>51579.759999999995</v>
      </c>
      <c r="I90" s="35"/>
      <c r="J90" s="35">
        <f>2098.89+4222+2111+2511.25</f>
        <v>10943.14</v>
      </c>
      <c r="K90" s="43"/>
      <c r="L90" s="21">
        <f t="shared" si="7"/>
        <v>179712.66999999998</v>
      </c>
      <c r="N90" s="26">
        <f>SUM(L89:L120)</f>
        <v>1643697.2300000004</v>
      </c>
      <c r="P90" s="26"/>
    </row>
    <row r="91" spans="1:16" s="1" customFormat="1" ht="30" x14ac:dyDescent="0.25">
      <c r="A91" s="10"/>
      <c r="B91" s="3"/>
      <c r="C91" s="18" t="s">
        <v>152</v>
      </c>
      <c r="D91" s="35">
        <v>2000</v>
      </c>
      <c r="E91" s="35"/>
      <c r="F91" s="35">
        <v>2000</v>
      </c>
      <c r="G91" s="35">
        <v>2000</v>
      </c>
      <c r="H91" s="35">
        <v>2000</v>
      </c>
      <c r="I91" s="35"/>
      <c r="J91" s="35"/>
      <c r="K91" s="43"/>
      <c r="L91" s="21">
        <f t="shared" si="7"/>
        <v>8000</v>
      </c>
      <c r="N91" s="26"/>
      <c r="P91" s="26"/>
    </row>
    <row r="92" spans="1:16" s="1" customFormat="1" x14ac:dyDescent="0.25">
      <c r="A92" s="10"/>
      <c r="B92" s="3"/>
      <c r="C92" s="18" t="s">
        <v>120</v>
      </c>
      <c r="D92" s="35"/>
      <c r="E92" s="35"/>
      <c r="F92" s="35"/>
      <c r="G92" s="35"/>
      <c r="H92" s="35"/>
      <c r="I92" s="35"/>
      <c r="J92" s="35">
        <v>12710.52</v>
      </c>
      <c r="K92" s="43"/>
      <c r="L92" s="21">
        <f t="shared" si="7"/>
        <v>12710.52</v>
      </c>
      <c r="N92" s="26"/>
      <c r="P92" s="26"/>
    </row>
    <row r="93" spans="1:16" s="1" customFormat="1" x14ac:dyDescent="0.25">
      <c r="A93" s="10"/>
      <c r="B93" s="3"/>
      <c r="C93" s="18" t="s">
        <v>153</v>
      </c>
      <c r="D93" s="35">
        <v>849.6</v>
      </c>
      <c r="E93" s="35"/>
      <c r="F93" s="35"/>
      <c r="G93" s="35"/>
      <c r="H93" s="35"/>
      <c r="I93" s="35"/>
      <c r="J93" s="35"/>
      <c r="K93" s="43"/>
      <c r="L93" s="21">
        <f t="shared" si="7"/>
        <v>849.6</v>
      </c>
      <c r="N93" s="26"/>
      <c r="P93" s="26"/>
    </row>
    <row r="94" spans="1:16" s="1" customFormat="1" ht="12.6" customHeight="1" x14ac:dyDescent="0.25">
      <c r="A94" s="10"/>
      <c r="B94" s="3"/>
      <c r="C94" s="16" t="s">
        <v>29</v>
      </c>
      <c r="D94" s="35">
        <f>4400+4800+4800</f>
        <v>14000</v>
      </c>
      <c r="E94" s="35"/>
      <c r="F94" s="35">
        <f>1320+3960+2640</f>
        <v>7920</v>
      </c>
      <c r="G94" s="35">
        <f>1320+3960+2640</f>
        <v>7920</v>
      </c>
      <c r="H94" s="35">
        <f>2400+4800+4800</f>
        <v>12000</v>
      </c>
      <c r="I94" s="35"/>
      <c r="J94" s="35">
        <f>2400+4800</f>
        <v>7200</v>
      </c>
      <c r="K94" s="43"/>
      <c r="L94" s="21">
        <f t="shared" si="7"/>
        <v>49040</v>
      </c>
    </row>
    <row r="95" spans="1:16" s="1" customFormat="1" ht="12.6" customHeight="1" x14ac:dyDescent="0.25">
      <c r="A95" s="10"/>
      <c r="B95" s="3"/>
      <c r="C95" s="16" t="s">
        <v>56</v>
      </c>
      <c r="D95" s="35">
        <f>560+1680+1400</f>
        <v>3640</v>
      </c>
      <c r="E95" s="35"/>
      <c r="F95" s="35">
        <f>560+1680+1400</f>
        <v>3640</v>
      </c>
      <c r="G95" s="35">
        <f>2699+1680+560+1400</f>
        <v>6339</v>
      </c>
      <c r="H95" s="35">
        <f>560+1680+1400</f>
        <v>3640</v>
      </c>
      <c r="I95" s="35"/>
      <c r="J95" s="35">
        <f>560+1680</f>
        <v>2240</v>
      </c>
      <c r="K95" s="43"/>
      <c r="L95" s="21">
        <f t="shared" si="7"/>
        <v>19499</v>
      </c>
    </row>
    <row r="96" spans="1:16" s="1" customFormat="1" ht="12.6" customHeight="1" x14ac:dyDescent="0.25">
      <c r="A96" s="10"/>
      <c r="B96" s="3"/>
      <c r="C96" s="16" t="s">
        <v>49</v>
      </c>
      <c r="D96" s="35">
        <v>1416</v>
      </c>
      <c r="E96" s="35"/>
      <c r="F96" s="35">
        <v>1416</v>
      </c>
      <c r="G96" s="35">
        <v>1416</v>
      </c>
      <c r="H96" s="35">
        <v>1416</v>
      </c>
      <c r="I96" s="35"/>
      <c r="J96" s="35">
        <v>1416</v>
      </c>
      <c r="K96" s="43"/>
      <c r="L96" s="21">
        <f t="shared" si="7"/>
        <v>7080</v>
      </c>
    </row>
    <row r="97" spans="1:12" s="1" customFormat="1" ht="12.6" customHeight="1" x14ac:dyDescent="0.25">
      <c r="A97" s="10"/>
      <c r="B97" s="3"/>
      <c r="C97" s="16" t="s">
        <v>50</v>
      </c>
      <c r="D97" s="35">
        <f>2000+2000+3500</f>
        <v>7500</v>
      </c>
      <c r="E97" s="35"/>
      <c r="F97" s="35">
        <f>2000+1500</f>
        <v>3500</v>
      </c>
      <c r="G97" s="35">
        <v>4000</v>
      </c>
      <c r="H97" s="35">
        <v>4000</v>
      </c>
      <c r="I97" s="35"/>
      <c r="J97" s="35"/>
      <c r="K97" s="43"/>
      <c r="L97" s="21">
        <f t="shared" si="7"/>
        <v>19000</v>
      </c>
    </row>
    <row r="98" spans="1:12" s="1" customFormat="1" ht="30" x14ac:dyDescent="0.25">
      <c r="A98" s="10"/>
      <c r="B98" s="3"/>
      <c r="C98" s="18" t="s">
        <v>52</v>
      </c>
      <c r="D98" s="35">
        <f>183.6+1731+1731+1970+183.6+2203</f>
        <v>8002.2000000000007</v>
      </c>
      <c r="E98" s="35"/>
      <c r="F98" s="35">
        <f>1397+2089</f>
        <v>3486</v>
      </c>
      <c r="G98" s="35">
        <f>1970+163.2+1998</f>
        <v>4131.2</v>
      </c>
      <c r="H98" s="35">
        <f>1970+163.2+1998</f>
        <v>4131.2</v>
      </c>
      <c r="I98" s="35"/>
      <c r="J98" s="35"/>
      <c r="K98" s="43"/>
      <c r="L98" s="21">
        <f t="shared" si="7"/>
        <v>19750.600000000002</v>
      </c>
    </row>
    <row r="99" spans="1:12" s="1" customFormat="1" x14ac:dyDescent="0.25">
      <c r="A99" s="10"/>
      <c r="B99" s="3"/>
      <c r="C99" s="18" t="s">
        <v>122</v>
      </c>
      <c r="D99" s="35">
        <v>2575</v>
      </c>
      <c r="E99" s="35"/>
      <c r="F99" s="35">
        <v>2575</v>
      </c>
      <c r="G99" s="35">
        <v>2575</v>
      </c>
      <c r="H99" s="35">
        <v>2575</v>
      </c>
      <c r="I99" s="35"/>
      <c r="J99" s="35"/>
      <c r="K99" s="43"/>
      <c r="L99" s="21">
        <f t="shared" si="7"/>
        <v>10300</v>
      </c>
    </row>
    <row r="100" spans="1:12" s="1" customFormat="1" x14ac:dyDescent="0.25">
      <c r="A100" s="10"/>
      <c r="B100" s="3"/>
      <c r="C100" s="18" t="s">
        <v>155</v>
      </c>
      <c r="D100" s="35"/>
      <c r="E100" s="35"/>
      <c r="F100" s="35"/>
      <c r="G100" s="35">
        <v>28500</v>
      </c>
      <c r="H100" s="35"/>
      <c r="I100" s="35"/>
      <c r="J100" s="35"/>
      <c r="K100" s="43"/>
      <c r="L100" s="21">
        <f t="shared" si="7"/>
        <v>28500</v>
      </c>
    </row>
    <row r="101" spans="1:12" s="1" customFormat="1" x14ac:dyDescent="0.25">
      <c r="A101" s="10"/>
      <c r="B101" s="3"/>
      <c r="C101" s="18" t="s">
        <v>156</v>
      </c>
      <c r="D101" s="35"/>
      <c r="E101" s="35"/>
      <c r="F101" s="35">
        <v>28578.959999999999</v>
      </c>
      <c r="G101" s="35"/>
      <c r="H101" s="35"/>
      <c r="I101" s="35"/>
      <c r="J101" s="35"/>
      <c r="K101" s="43"/>
      <c r="L101" s="21">
        <f t="shared" si="7"/>
        <v>28578.959999999999</v>
      </c>
    </row>
    <row r="102" spans="1:12" s="1" customFormat="1" ht="12.6" customHeight="1" x14ac:dyDescent="0.25">
      <c r="A102" s="10"/>
      <c r="B102" s="3"/>
      <c r="C102" s="16" t="s">
        <v>63</v>
      </c>
      <c r="D102" s="35">
        <f>9902.94+1750+1200+2800+4750-6820</f>
        <v>13582.940000000002</v>
      </c>
      <c r="E102" s="35"/>
      <c r="F102" s="35">
        <f>1600+16300+6000</f>
        <v>23900</v>
      </c>
      <c r="G102" s="35">
        <f>46300+41000+39000</f>
        <v>126300</v>
      </c>
      <c r="H102" s="35">
        <f>5900+15500+1800+12600</f>
        <v>35800</v>
      </c>
      <c r="I102" s="35"/>
      <c r="J102" s="35"/>
      <c r="K102" s="43"/>
      <c r="L102" s="21">
        <f t="shared" si="7"/>
        <v>199582.94</v>
      </c>
    </row>
    <row r="103" spans="1:12" s="1" customFormat="1" x14ac:dyDescent="0.25">
      <c r="A103" s="10"/>
      <c r="B103" s="3"/>
      <c r="C103" s="18" t="s">
        <v>90</v>
      </c>
      <c r="D103" s="35">
        <v>8400</v>
      </c>
      <c r="E103" s="35"/>
      <c r="F103" s="35"/>
      <c r="G103" s="35"/>
      <c r="H103" s="35">
        <v>4530</v>
      </c>
      <c r="I103" s="35"/>
      <c r="J103" s="35"/>
      <c r="K103" s="43"/>
      <c r="L103" s="21">
        <f t="shared" ref="L103:L123" si="9">SUM(D103:K103)</f>
        <v>12930</v>
      </c>
    </row>
    <row r="104" spans="1:12" s="1" customFormat="1" x14ac:dyDescent="0.25">
      <c r="A104" s="10"/>
      <c r="B104" s="3"/>
      <c r="C104" s="18" t="s">
        <v>101</v>
      </c>
      <c r="D104" s="35">
        <f>122+1927.75+1637.35</f>
        <v>3687.1</v>
      </c>
      <c r="E104" s="35"/>
      <c r="F104" s="35"/>
      <c r="G104" s="35">
        <v>990.41</v>
      </c>
      <c r="H104" s="35">
        <f>1637.34+1927.76</f>
        <v>3565.1</v>
      </c>
      <c r="I104" s="35"/>
      <c r="J104" s="35"/>
      <c r="K104" s="43"/>
      <c r="L104" s="21">
        <f t="shared" si="9"/>
        <v>8242.61</v>
      </c>
    </row>
    <row r="105" spans="1:12" s="1" customFormat="1" x14ac:dyDescent="0.25">
      <c r="A105" s="10"/>
      <c r="B105" s="3"/>
      <c r="C105" s="18" t="s">
        <v>154</v>
      </c>
      <c r="D105" s="35">
        <v>24930.39</v>
      </c>
      <c r="E105" s="35"/>
      <c r="F105" s="35"/>
      <c r="G105" s="35"/>
      <c r="H105" s="35"/>
      <c r="I105" s="35"/>
      <c r="J105" s="35"/>
      <c r="K105" s="43"/>
      <c r="L105" s="21">
        <f t="shared" si="9"/>
        <v>24930.39</v>
      </c>
    </row>
    <row r="106" spans="1:12" s="1" customFormat="1" x14ac:dyDescent="0.25">
      <c r="A106" s="10"/>
      <c r="B106" s="3"/>
      <c r="C106" s="18" t="s">
        <v>164</v>
      </c>
      <c r="D106" s="35"/>
      <c r="E106" s="35"/>
      <c r="F106" s="35"/>
      <c r="G106" s="35"/>
      <c r="H106" s="35">
        <v>156846.53</v>
      </c>
      <c r="I106" s="35"/>
      <c r="J106" s="35"/>
      <c r="K106" s="43"/>
      <c r="L106" s="21">
        <f t="shared" si="9"/>
        <v>156846.53</v>
      </c>
    </row>
    <row r="107" spans="1:12" s="1" customFormat="1" x14ac:dyDescent="0.25">
      <c r="A107" s="10"/>
      <c r="B107" s="3"/>
      <c r="C107" s="18" t="s">
        <v>106</v>
      </c>
      <c r="D107" s="35">
        <v>13312.19</v>
      </c>
      <c r="E107" s="35"/>
      <c r="F107" s="35"/>
      <c r="G107" s="35"/>
      <c r="H107" s="35"/>
      <c r="I107" s="35"/>
      <c r="J107" s="35"/>
      <c r="K107" s="43"/>
      <c r="L107" s="21">
        <f t="shared" si="9"/>
        <v>13312.19</v>
      </c>
    </row>
    <row r="108" spans="1:12" s="1" customFormat="1" x14ac:dyDescent="0.25">
      <c r="A108" s="10"/>
      <c r="B108" s="3"/>
      <c r="C108" s="18" t="s">
        <v>121</v>
      </c>
      <c r="D108" s="35">
        <v>74407.8</v>
      </c>
      <c r="E108" s="35"/>
      <c r="F108" s="35">
        <f>59146.15+64400.01</f>
        <v>123546.16</v>
      </c>
      <c r="G108" s="35">
        <v>73131.63</v>
      </c>
      <c r="H108" s="35">
        <v>57566.14</v>
      </c>
      <c r="I108" s="35"/>
      <c r="J108" s="35"/>
      <c r="K108" s="43"/>
      <c r="L108" s="21">
        <f t="shared" si="9"/>
        <v>328651.73000000004</v>
      </c>
    </row>
    <row r="109" spans="1:12" s="1" customFormat="1" x14ac:dyDescent="0.25">
      <c r="A109" s="10"/>
      <c r="B109" s="3"/>
      <c r="C109" s="18" t="s">
        <v>89</v>
      </c>
      <c r="D109" s="35">
        <f>1350+180+4000</f>
        <v>5530</v>
      </c>
      <c r="E109" s="35"/>
      <c r="F109" s="35">
        <v>3300</v>
      </c>
      <c r="G109" s="35">
        <f>20450+100+2050</f>
        <v>22600</v>
      </c>
      <c r="H109" s="35">
        <f>400+2000+500+170</f>
        <v>3070</v>
      </c>
      <c r="I109" s="35"/>
      <c r="J109" s="35"/>
      <c r="K109" s="43"/>
      <c r="L109" s="21">
        <f t="shared" si="9"/>
        <v>34500</v>
      </c>
    </row>
    <row r="110" spans="1:12" s="1" customFormat="1" x14ac:dyDescent="0.25">
      <c r="A110" s="10"/>
      <c r="B110" s="3"/>
      <c r="C110" s="18" t="s">
        <v>125</v>
      </c>
      <c r="D110" s="35">
        <v>12915.78</v>
      </c>
      <c r="E110" s="35"/>
      <c r="F110" s="35"/>
      <c r="G110" s="35"/>
      <c r="H110" s="35"/>
      <c r="I110" s="35"/>
      <c r="J110" s="35"/>
      <c r="K110" s="43"/>
      <c r="L110" s="21">
        <f t="shared" si="9"/>
        <v>12915.78</v>
      </c>
    </row>
    <row r="111" spans="1:12" s="1" customFormat="1" x14ac:dyDescent="0.25">
      <c r="A111" s="10"/>
      <c r="B111" s="3"/>
      <c r="C111" s="18" t="s">
        <v>114</v>
      </c>
      <c r="D111" s="35">
        <v>65045.21</v>
      </c>
      <c r="E111" s="35"/>
      <c r="F111" s="35"/>
      <c r="G111" s="35"/>
      <c r="H111" s="35"/>
      <c r="I111" s="35"/>
      <c r="J111" s="35"/>
      <c r="K111" s="43"/>
      <c r="L111" s="21">
        <f t="shared" si="9"/>
        <v>65045.21</v>
      </c>
    </row>
    <row r="112" spans="1:12" s="1" customFormat="1" x14ac:dyDescent="0.25">
      <c r="A112" s="10"/>
      <c r="B112" s="3"/>
      <c r="C112" s="18" t="s">
        <v>158</v>
      </c>
      <c r="D112" s="35"/>
      <c r="E112" s="35"/>
      <c r="F112" s="35">
        <v>96763.57</v>
      </c>
      <c r="G112" s="35"/>
      <c r="H112" s="35"/>
      <c r="I112" s="35"/>
      <c r="J112" s="35"/>
      <c r="K112" s="43"/>
      <c r="L112" s="21">
        <f t="shared" si="9"/>
        <v>96763.57</v>
      </c>
    </row>
    <row r="113" spans="1:14" s="1" customFormat="1" x14ac:dyDescent="0.25">
      <c r="A113" s="10"/>
      <c r="B113" s="3"/>
      <c r="C113" s="18" t="s">
        <v>62</v>
      </c>
      <c r="D113" s="35">
        <f>1978.56+1605.6+1978.56+2007</f>
        <v>7569.7199999999993</v>
      </c>
      <c r="E113" s="35"/>
      <c r="F113" s="35">
        <f>1978.56+3584.16+2007</f>
        <v>7569.7199999999993</v>
      </c>
      <c r="G113" s="35">
        <f>1978.56+3584.16+2007</f>
        <v>7569.7199999999993</v>
      </c>
      <c r="H113" s="35">
        <f>2007+3584.16</f>
        <v>5591.16</v>
      </c>
      <c r="I113" s="35"/>
      <c r="J113" s="35">
        <f>1978.56+3584.16+1978.56</f>
        <v>7541.2799999999988</v>
      </c>
      <c r="K113" s="43"/>
      <c r="L113" s="21">
        <f t="shared" si="9"/>
        <v>35841.599999999991</v>
      </c>
    </row>
    <row r="114" spans="1:14" s="1" customFormat="1" x14ac:dyDescent="0.25">
      <c r="A114" s="10"/>
      <c r="B114" s="3"/>
      <c r="C114" s="18" t="s">
        <v>58</v>
      </c>
      <c r="D114" s="35">
        <f>4601.34+4991.38+607+6720</f>
        <v>16919.72</v>
      </c>
      <c r="E114" s="35"/>
      <c r="F114" s="35">
        <f>4991.38+4601.34+607</f>
        <v>10199.720000000001</v>
      </c>
      <c r="G114" s="35">
        <f>4991.38+4601.34+607+6044</f>
        <v>16243.720000000001</v>
      </c>
      <c r="H114" s="35">
        <f>4000+4601.34+607+591</f>
        <v>9799.34</v>
      </c>
      <c r="I114" s="35"/>
      <c r="J114" s="35">
        <f>993.53+4601.34</f>
        <v>5594.87</v>
      </c>
      <c r="K114" s="43"/>
      <c r="L114" s="21">
        <f t="shared" si="9"/>
        <v>58757.37</v>
      </c>
    </row>
    <row r="115" spans="1:14" s="1" customFormat="1" x14ac:dyDescent="0.25">
      <c r="A115" s="10"/>
      <c r="B115" s="3"/>
      <c r="C115" s="18" t="s">
        <v>113</v>
      </c>
      <c r="D115" s="35">
        <f>2233.4+787.89+964.11</f>
        <v>3985.4</v>
      </c>
      <c r="E115" s="35"/>
      <c r="F115" s="35">
        <f>964.11+787.89</f>
        <v>1752</v>
      </c>
      <c r="G115" s="35">
        <f>964.11+787.89</f>
        <v>1752</v>
      </c>
      <c r="H115" s="35">
        <f>964.14+787.89</f>
        <v>1752.03</v>
      </c>
      <c r="I115" s="35"/>
      <c r="J115" s="35">
        <v>787.89</v>
      </c>
      <c r="K115" s="43"/>
      <c r="L115" s="21">
        <f t="shared" si="9"/>
        <v>10029.32</v>
      </c>
    </row>
    <row r="116" spans="1:14" s="1" customFormat="1" x14ac:dyDescent="0.25">
      <c r="A116" s="10"/>
      <c r="B116" s="3"/>
      <c r="C116" s="18" t="s">
        <v>126</v>
      </c>
      <c r="D116" s="35">
        <v>717</v>
      </c>
      <c r="E116" s="35"/>
      <c r="F116" s="35"/>
      <c r="G116" s="35"/>
      <c r="H116" s="35"/>
      <c r="I116" s="35"/>
      <c r="J116" s="35"/>
      <c r="K116" s="43"/>
      <c r="L116" s="21">
        <f t="shared" si="9"/>
        <v>717</v>
      </c>
    </row>
    <row r="117" spans="1:14" s="1" customFormat="1" ht="30" x14ac:dyDescent="0.25">
      <c r="A117" s="10"/>
      <c r="B117" s="3"/>
      <c r="C117" s="54" t="s">
        <v>115</v>
      </c>
      <c r="D117" s="35">
        <v>4062.09</v>
      </c>
      <c r="E117" s="35"/>
      <c r="F117" s="35">
        <v>4062.09</v>
      </c>
      <c r="G117" s="35">
        <v>4062.09</v>
      </c>
      <c r="H117" s="35">
        <v>4062.09</v>
      </c>
      <c r="I117" s="35"/>
      <c r="J117" s="35"/>
      <c r="K117" s="43"/>
      <c r="L117" s="21">
        <f t="shared" si="9"/>
        <v>16248.36</v>
      </c>
    </row>
    <row r="118" spans="1:14" s="1" customFormat="1" ht="16.5" customHeight="1" x14ac:dyDescent="0.25">
      <c r="A118" s="10"/>
      <c r="B118" s="3"/>
      <c r="C118" s="18" t="s">
        <v>104</v>
      </c>
      <c r="D118" s="35">
        <f>7800+720+360+3900+360+3900</f>
        <v>17040</v>
      </c>
      <c r="E118" s="35"/>
      <c r="F118" s="35">
        <f>720+360+360</f>
        <v>1440</v>
      </c>
      <c r="G118" s="35">
        <f>720+360+360</f>
        <v>1440</v>
      </c>
      <c r="H118" s="35">
        <f>720+360+360</f>
        <v>1440</v>
      </c>
      <c r="I118" s="35"/>
      <c r="J118" s="35">
        <f>720+360</f>
        <v>1080</v>
      </c>
      <c r="K118" s="43"/>
      <c r="L118" s="21">
        <f t="shared" si="9"/>
        <v>22440</v>
      </c>
    </row>
    <row r="119" spans="1:14" s="1" customFormat="1" ht="16.5" customHeight="1" x14ac:dyDescent="0.25">
      <c r="A119" s="10"/>
      <c r="B119" s="3"/>
      <c r="C119" s="18" t="s">
        <v>119</v>
      </c>
      <c r="D119" s="35"/>
      <c r="E119" s="35"/>
      <c r="F119" s="35"/>
      <c r="G119" s="35"/>
      <c r="H119" s="35"/>
      <c r="I119" s="35"/>
      <c r="J119" s="35">
        <v>5856</v>
      </c>
      <c r="K119" s="43"/>
      <c r="L119" s="21">
        <f t="shared" si="9"/>
        <v>5856</v>
      </c>
    </row>
    <row r="120" spans="1:14" s="1" customFormat="1" ht="33" customHeight="1" x14ac:dyDescent="0.25">
      <c r="A120" s="10"/>
      <c r="B120" s="3"/>
      <c r="C120" s="18" t="s">
        <v>124</v>
      </c>
      <c r="D120" s="35"/>
      <c r="E120" s="35"/>
      <c r="F120" s="35"/>
      <c r="G120" s="35">
        <v>4008.29</v>
      </c>
      <c r="H120" s="35"/>
      <c r="I120" s="35"/>
      <c r="J120" s="35">
        <v>36246.99</v>
      </c>
      <c r="K120" s="43"/>
      <c r="L120" s="21">
        <f t="shared" si="9"/>
        <v>40255.279999999999</v>
      </c>
    </row>
    <row r="121" spans="1:14" s="1" customFormat="1" ht="12.6" customHeight="1" x14ac:dyDescent="0.25">
      <c r="A121" s="10"/>
      <c r="B121" s="3"/>
      <c r="C121" s="16" t="s">
        <v>30</v>
      </c>
      <c r="D121" s="41">
        <f>19420.92+51245.22+284688.73+140207.25</f>
        <v>495562.12</v>
      </c>
      <c r="E121" s="41"/>
      <c r="F121" s="41">
        <f>1744.48+14083.53+50733.44+17699.35+1268.65</f>
        <v>85529.449999999983</v>
      </c>
      <c r="G121" s="41">
        <f>3620.89+13582.02+116295.3+110350.26</f>
        <v>243848.46999999997</v>
      </c>
      <c r="H121" s="41">
        <f>3493.02+872.9+8103.97+99149.72+50451.03</f>
        <v>162070.64000000001</v>
      </c>
      <c r="I121" s="35"/>
      <c r="J121" s="35">
        <f>35081.11+82751.85+14663.95+7389.04</f>
        <v>139885.95000000001</v>
      </c>
      <c r="K121" s="43"/>
      <c r="L121" s="21">
        <f t="shared" si="9"/>
        <v>1126896.6299999999</v>
      </c>
    </row>
    <row r="122" spans="1:14" s="1" customFormat="1" ht="12.6" customHeight="1" x14ac:dyDescent="0.25">
      <c r="A122" s="10"/>
      <c r="B122" s="3"/>
      <c r="C122" s="16" t="s">
        <v>31</v>
      </c>
      <c r="D122" s="41">
        <f>274.31+464.71+365.71</f>
        <v>1104.73</v>
      </c>
      <c r="E122" s="44"/>
      <c r="F122" s="44"/>
      <c r="G122" s="44"/>
      <c r="H122" s="41"/>
      <c r="I122" s="35"/>
      <c r="J122" s="35"/>
      <c r="K122" s="43"/>
      <c r="L122" s="21">
        <f t="shared" si="9"/>
        <v>1104.73</v>
      </c>
    </row>
    <row r="123" spans="1:14" s="1" customFormat="1" ht="12.6" customHeight="1" x14ac:dyDescent="0.25">
      <c r="A123" s="10"/>
      <c r="B123" s="3"/>
      <c r="C123" s="16" t="s">
        <v>159</v>
      </c>
      <c r="D123" s="41">
        <f>598320-16620</f>
        <v>581700</v>
      </c>
      <c r="E123" s="41"/>
      <c r="F123" s="41">
        <v>45177.599999999999</v>
      </c>
      <c r="G123" s="41">
        <v>424245.9</v>
      </c>
      <c r="H123" s="41">
        <v>236476.5</v>
      </c>
      <c r="I123" s="35"/>
      <c r="J123" s="35"/>
      <c r="K123" s="43"/>
      <c r="L123" s="21">
        <f t="shared" si="9"/>
        <v>1287600</v>
      </c>
    </row>
    <row r="124" spans="1:14" s="1" customFormat="1" ht="12.6" customHeight="1" x14ac:dyDescent="0.25">
      <c r="A124" s="10"/>
      <c r="B124" s="3"/>
      <c r="C124" s="52" t="s">
        <v>32</v>
      </c>
      <c r="D124" s="41"/>
      <c r="E124" s="42"/>
      <c r="F124" s="42"/>
      <c r="G124" s="42"/>
      <c r="H124" s="42"/>
      <c r="I124" s="35"/>
      <c r="J124" s="35"/>
      <c r="K124" s="43"/>
      <c r="L124" s="21"/>
    </row>
    <row r="125" spans="1:14" s="1" customFormat="1" ht="12.6" customHeight="1" x14ac:dyDescent="0.25">
      <c r="A125" s="10"/>
      <c r="B125" s="3"/>
      <c r="C125" s="17" t="s">
        <v>28</v>
      </c>
      <c r="D125" s="41">
        <v>6974.54</v>
      </c>
      <c r="E125" s="42"/>
      <c r="F125" s="42">
        <v>13502.45</v>
      </c>
      <c r="G125" s="42"/>
      <c r="H125" s="42">
        <v>11493.61</v>
      </c>
      <c r="I125" s="35"/>
      <c r="J125" s="35"/>
      <c r="K125" s="43"/>
      <c r="L125" s="21">
        <f>SUM(D125:K125)</f>
        <v>31970.600000000002</v>
      </c>
    </row>
    <row r="126" spans="1:14" s="1" customFormat="1" ht="12.6" customHeight="1" x14ac:dyDescent="0.25">
      <c r="A126" s="10"/>
      <c r="B126" s="3"/>
      <c r="C126" s="3" t="s">
        <v>42</v>
      </c>
      <c r="D126" s="42"/>
      <c r="E126" s="42"/>
      <c r="F126" s="42"/>
      <c r="G126" s="42"/>
      <c r="H126" s="42"/>
      <c r="I126" s="35"/>
      <c r="J126" s="35"/>
      <c r="K126" s="43"/>
      <c r="L126" s="21"/>
      <c r="N126" s="26">
        <f>SUM(L127:L134)</f>
        <v>859477.46</v>
      </c>
    </row>
    <row r="127" spans="1:14" s="1" customFormat="1" ht="12.6" customHeight="1" x14ac:dyDescent="0.25">
      <c r="A127" s="10"/>
      <c r="B127" s="3"/>
      <c r="C127" s="17" t="s">
        <v>28</v>
      </c>
      <c r="D127" s="42"/>
      <c r="E127" s="42"/>
      <c r="F127" s="42">
        <v>4578</v>
      </c>
      <c r="G127" s="42"/>
      <c r="H127" s="42"/>
      <c r="I127" s="35"/>
      <c r="J127" s="35"/>
      <c r="K127" s="43"/>
      <c r="L127" s="21">
        <f t="shared" ref="L127:L160" si="10">SUM(D127:K127)</f>
        <v>4578</v>
      </c>
    </row>
    <row r="128" spans="1:14" s="1" customFormat="1" ht="12.6" customHeight="1" x14ac:dyDescent="0.25">
      <c r="A128" s="10"/>
      <c r="B128" s="3"/>
      <c r="C128" s="17" t="s">
        <v>91</v>
      </c>
      <c r="D128" s="42"/>
      <c r="E128" s="42"/>
      <c r="F128" s="42"/>
      <c r="G128" s="42"/>
      <c r="H128" s="42"/>
      <c r="I128" s="35"/>
      <c r="J128" s="35">
        <v>21000</v>
      </c>
      <c r="K128" s="43"/>
      <c r="L128" s="21">
        <f t="shared" si="10"/>
        <v>21000</v>
      </c>
    </row>
    <row r="129" spans="1:14" s="1" customFormat="1" ht="12.6" customHeight="1" x14ac:dyDescent="0.25">
      <c r="A129" s="10"/>
      <c r="B129" s="3"/>
      <c r="C129" s="17" t="s">
        <v>160</v>
      </c>
      <c r="D129" s="42"/>
      <c r="E129" s="42"/>
      <c r="F129" s="42">
        <v>29000</v>
      </c>
      <c r="G129" s="42"/>
      <c r="H129" s="42">
        <v>29000</v>
      </c>
      <c r="I129" s="35"/>
      <c r="J129" s="35"/>
      <c r="K129" s="43"/>
      <c r="L129" s="21">
        <f t="shared" si="10"/>
        <v>58000</v>
      </c>
    </row>
    <row r="130" spans="1:14" s="1" customFormat="1" ht="12.6" customHeight="1" x14ac:dyDescent="0.25">
      <c r="A130" s="10"/>
      <c r="B130" s="3"/>
      <c r="C130" s="17" t="s">
        <v>127</v>
      </c>
      <c r="D130" s="42">
        <v>11214</v>
      </c>
      <c r="E130" s="42"/>
      <c r="F130" s="42"/>
      <c r="G130" s="42">
        <v>3738</v>
      </c>
      <c r="H130" s="42"/>
      <c r="I130" s="35"/>
      <c r="J130" s="35"/>
      <c r="K130" s="43"/>
      <c r="L130" s="21">
        <f t="shared" si="10"/>
        <v>14952</v>
      </c>
    </row>
    <row r="131" spans="1:14" s="1" customFormat="1" ht="12.6" customHeight="1" x14ac:dyDescent="0.25">
      <c r="A131" s="10"/>
      <c r="B131" s="3"/>
      <c r="C131" s="17" t="s">
        <v>128</v>
      </c>
      <c r="D131" s="42"/>
      <c r="E131" s="42"/>
      <c r="F131" s="42"/>
      <c r="G131" s="42">
        <f>123709.98+358869.23</f>
        <v>482579.20999999996</v>
      </c>
      <c r="H131" s="42"/>
      <c r="I131" s="35"/>
      <c r="J131" s="35"/>
      <c r="K131" s="43"/>
      <c r="L131" s="21">
        <f t="shared" si="10"/>
        <v>482579.20999999996</v>
      </c>
    </row>
    <row r="132" spans="1:14" s="1" customFormat="1" ht="12.6" customHeight="1" x14ac:dyDescent="0.25">
      <c r="A132" s="10"/>
      <c r="B132" s="3"/>
      <c r="C132" s="17" t="s">
        <v>161</v>
      </c>
      <c r="D132" s="42">
        <v>268577</v>
      </c>
      <c r="E132" s="42"/>
      <c r="F132" s="42"/>
      <c r="G132" s="42"/>
      <c r="H132" s="42"/>
      <c r="I132" s="35"/>
      <c r="J132" s="35"/>
      <c r="K132" s="43"/>
      <c r="L132" s="21">
        <f t="shared" si="10"/>
        <v>268577</v>
      </c>
    </row>
    <row r="133" spans="1:14" s="1" customFormat="1" ht="27" customHeight="1" x14ac:dyDescent="0.25">
      <c r="A133" s="10"/>
      <c r="B133" s="3"/>
      <c r="C133" s="56" t="s">
        <v>162</v>
      </c>
      <c r="D133" s="42">
        <v>3612</v>
      </c>
      <c r="E133" s="42"/>
      <c r="F133" s="42"/>
      <c r="G133" s="42"/>
      <c r="H133" s="42"/>
      <c r="I133" s="35"/>
      <c r="J133" s="35"/>
      <c r="K133" s="43"/>
      <c r="L133" s="21">
        <f t="shared" si="10"/>
        <v>3612</v>
      </c>
    </row>
    <row r="134" spans="1:14" s="1" customFormat="1" ht="27" customHeight="1" x14ac:dyDescent="0.25">
      <c r="A134" s="10"/>
      <c r="B134" s="3"/>
      <c r="C134" s="17" t="s">
        <v>163</v>
      </c>
      <c r="D134" s="42"/>
      <c r="E134" s="42"/>
      <c r="F134" s="42"/>
      <c r="G134" s="42">
        <v>6179.25</v>
      </c>
      <c r="H134" s="42"/>
      <c r="I134" s="35"/>
      <c r="J134" s="35"/>
      <c r="K134" s="43"/>
      <c r="L134" s="21">
        <f t="shared" si="10"/>
        <v>6179.25</v>
      </c>
    </row>
    <row r="135" spans="1:14" s="1" customFormat="1" ht="27" customHeight="1" x14ac:dyDescent="0.25">
      <c r="A135" s="10" t="s">
        <v>36</v>
      </c>
      <c r="B135" s="3">
        <v>611031</v>
      </c>
      <c r="C135" s="33" t="s">
        <v>70</v>
      </c>
      <c r="D135" s="46">
        <f>SUM(D136:D137)</f>
        <v>5003122.5999999996</v>
      </c>
      <c r="E135" s="46">
        <f t="shared" ref="E135:K135" si="11">SUM(E136:E137)</f>
        <v>0</v>
      </c>
      <c r="F135" s="46">
        <f t="shared" si="11"/>
        <v>3215035.9</v>
      </c>
      <c r="G135" s="46">
        <f t="shared" si="11"/>
        <v>2957096.69</v>
      </c>
      <c r="H135" s="46">
        <f t="shared" si="11"/>
        <v>3058144.81</v>
      </c>
      <c r="I135" s="46">
        <f t="shared" si="11"/>
        <v>0</v>
      </c>
      <c r="J135" s="46">
        <f t="shared" si="11"/>
        <v>0</v>
      </c>
      <c r="K135" s="46">
        <f t="shared" si="11"/>
        <v>0</v>
      </c>
      <c r="L135" s="31">
        <f t="shared" si="10"/>
        <v>14233400</v>
      </c>
    </row>
    <row r="136" spans="1:14" s="1" customFormat="1" ht="12.6" customHeight="1" x14ac:dyDescent="0.25">
      <c r="A136" s="10"/>
      <c r="B136" s="3"/>
      <c r="C136" s="14" t="s">
        <v>22</v>
      </c>
      <c r="D136" s="41">
        <v>4100775.06</v>
      </c>
      <c r="E136" s="41"/>
      <c r="F136" s="41">
        <v>2635337.15</v>
      </c>
      <c r="G136" s="41">
        <v>2423890.73</v>
      </c>
      <c r="H136" s="41">
        <v>2506717.06</v>
      </c>
      <c r="I136" s="35"/>
      <c r="J136" s="35"/>
      <c r="K136" s="43"/>
      <c r="L136" s="21">
        <f t="shared" si="10"/>
        <v>11666720</v>
      </c>
    </row>
    <row r="137" spans="1:14" s="1" customFormat="1" ht="12.6" customHeight="1" x14ac:dyDescent="0.25">
      <c r="A137" s="10"/>
      <c r="B137" s="3"/>
      <c r="C137" s="14" t="s">
        <v>21</v>
      </c>
      <c r="D137" s="41">
        <v>902347.54</v>
      </c>
      <c r="E137" s="41"/>
      <c r="F137" s="41">
        <v>579698.75</v>
      </c>
      <c r="G137" s="41">
        <v>533205.96</v>
      </c>
      <c r="H137" s="41">
        <v>551427.75</v>
      </c>
      <c r="I137" s="35"/>
      <c r="J137" s="35"/>
      <c r="K137" s="43"/>
      <c r="L137" s="21">
        <f t="shared" si="10"/>
        <v>2566680</v>
      </c>
    </row>
    <row r="138" spans="1:14" s="1" customFormat="1" ht="45" customHeight="1" x14ac:dyDescent="0.25">
      <c r="A138" s="10" t="s">
        <v>37</v>
      </c>
      <c r="B138" s="3">
        <v>611200</v>
      </c>
      <c r="C138" s="34" t="s">
        <v>71</v>
      </c>
      <c r="D138" s="46">
        <f t="shared" ref="D138:K138" si="12">SUM(D139:D140)</f>
        <v>12994.61</v>
      </c>
      <c r="E138" s="46">
        <f t="shared" si="12"/>
        <v>0</v>
      </c>
      <c r="F138" s="46">
        <f t="shared" si="12"/>
        <v>11589.88</v>
      </c>
      <c r="G138" s="46">
        <f t="shared" si="12"/>
        <v>9701.2900000000009</v>
      </c>
      <c r="H138" s="46">
        <f t="shared" si="12"/>
        <v>23060.58</v>
      </c>
      <c r="I138" s="46">
        <f t="shared" si="12"/>
        <v>635.6400000000001</v>
      </c>
      <c r="J138" s="46">
        <f t="shared" si="12"/>
        <v>0</v>
      </c>
      <c r="K138" s="46">
        <f t="shared" si="12"/>
        <v>0</v>
      </c>
      <c r="L138" s="31">
        <f t="shared" si="10"/>
        <v>57982</v>
      </c>
    </row>
    <row r="139" spans="1:14" s="1" customFormat="1" ht="12.6" customHeight="1" x14ac:dyDescent="0.25">
      <c r="A139" s="10"/>
      <c r="B139" s="3"/>
      <c r="C139" s="14" t="s">
        <v>22</v>
      </c>
      <c r="D139" s="41">
        <v>10651.42</v>
      </c>
      <c r="E139" s="41"/>
      <c r="F139" s="41">
        <v>9499.98</v>
      </c>
      <c r="G139" s="41">
        <v>7951.96</v>
      </c>
      <c r="H139" s="41">
        <v>18902.2</v>
      </c>
      <c r="I139" s="41">
        <v>521.44000000000005</v>
      </c>
      <c r="J139" s="35"/>
      <c r="K139" s="43"/>
      <c r="L139" s="21">
        <f t="shared" si="10"/>
        <v>47527</v>
      </c>
    </row>
    <row r="140" spans="1:14" s="1" customFormat="1" ht="12.6" customHeight="1" x14ac:dyDescent="0.25">
      <c r="A140" s="10"/>
      <c r="B140" s="3"/>
      <c r="C140" s="14" t="s">
        <v>21</v>
      </c>
      <c r="D140" s="41">
        <v>2343.19</v>
      </c>
      <c r="E140" s="41"/>
      <c r="F140" s="41">
        <v>2089.9</v>
      </c>
      <c r="G140" s="41">
        <v>1749.33</v>
      </c>
      <c r="H140" s="41">
        <v>4158.38</v>
      </c>
      <c r="I140" s="41">
        <v>114.2</v>
      </c>
      <c r="J140" s="35"/>
      <c r="K140" s="43"/>
      <c r="L140" s="21">
        <f t="shared" si="10"/>
        <v>10455</v>
      </c>
    </row>
    <row r="141" spans="1:14" s="1" customFormat="1" ht="63.75" customHeight="1" x14ac:dyDescent="0.25">
      <c r="A141" s="10" t="s">
        <v>93</v>
      </c>
      <c r="B141" s="3">
        <v>611210</v>
      </c>
      <c r="C141" s="34" t="s">
        <v>165</v>
      </c>
      <c r="D141" s="46">
        <f t="shared" ref="D141:K141" si="13">SUM(D142:D143)</f>
        <v>4845</v>
      </c>
      <c r="E141" s="46">
        <f t="shared" si="13"/>
        <v>0</v>
      </c>
      <c r="F141" s="46">
        <f t="shared" si="13"/>
        <v>4845</v>
      </c>
      <c r="G141" s="46">
        <f t="shared" si="13"/>
        <v>0</v>
      </c>
      <c r="H141" s="46">
        <f t="shared" si="13"/>
        <v>0</v>
      </c>
      <c r="I141" s="46">
        <f t="shared" si="13"/>
        <v>0</v>
      </c>
      <c r="J141" s="46">
        <f t="shared" si="13"/>
        <v>0</v>
      </c>
      <c r="K141" s="46">
        <f t="shared" si="13"/>
        <v>0</v>
      </c>
      <c r="L141" s="31">
        <f t="shared" ref="L141:L143" si="14">SUM(D141:K141)</f>
        <v>9690</v>
      </c>
    </row>
    <row r="142" spans="1:14" s="1" customFormat="1" ht="12.6" customHeight="1" x14ac:dyDescent="0.25">
      <c r="A142" s="10"/>
      <c r="B142" s="3"/>
      <c r="C142" s="14" t="s">
        <v>22</v>
      </c>
      <c r="D142" s="41">
        <v>3971.5</v>
      </c>
      <c r="E142" s="41"/>
      <c r="F142" s="41">
        <v>3971.5</v>
      </c>
      <c r="G142" s="41"/>
      <c r="H142" s="41"/>
      <c r="I142" s="41"/>
      <c r="J142" s="35"/>
      <c r="K142" s="43"/>
      <c r="L142" s="21">
        <f t="shared" si="14"/>
        <v>7943</v>
      </c>
    </row>
    <row r="143" spans="1:14" s="1" customFormat="1" ht="12.6" customHeight="1" x14ac:dyDescent="0.25">
      <c r="A143" s="10"/>
      <c r="B143" s="3"/>
      <c r="C143" s="14" t="s">
        <v>21</v>
      </c>
      <c r="D143" s="41">
        <v>873.5</v>
      </c>
      <c r="E143" s="41"/>
      <c r="F143" s="41">
        <v>873.5</v>
      </c>
      <c r="G143" s="41"/>
      <c r="H143" s="41"/>
      <c r="I143" s="41"/>
      <c r="J143" s="35"/>
      <c r="K143" s="43"/>
      <c r="L143" s="21">
        <f t="shared" si="14"/>
        <v>1747</v>
      </c>
    </row>
    <row r="144" spans="1:14" s="1" customFormat="1" ht="40.5" customHeight="1" x14ac:dyDescent="0.25">
      <c r="A144" s="10" t="s">
        <v>94</v>
      </c>
      <c r="B144" s="3">
        <v>611070</v>
      </c>
      <c r="C144" s="33" t="s">
        <v>74</v>
      </c>
      <c r="D144" s="46">
        <f t="shared" ref="D144:J144" si="15">SUM(D145:D154)</f>
        <v>0</v>
      </c>
      <c r="E144" s="46">
        <f t="shared" si="15"/>
        <v>0</v>
      </c>
      <c r="F144" s="46">
        <f t="shared" si="15"/>
        <v>0</v>
      </c>
      <c r="G144" s="46">
        <f t="shared" si="15"/>
        <v>0</v>
      </c>
      <c r="H144" s="46">
        <f t="shared" si="15"/>
        <v>0</v>
      </c>
      <c r="I144" s="46">
        <f t="shared" si="15"/>
        <v>0</v>
      </c>
      <c r="J144" s="46">
        <f t="shared" si="15"/>
        <v>0</v>
      </c>
      <c r="K144" s="46">
        <f>SUM(K145:K162)</f>
        <v>956480.97000000009</v>
      </c>
      <c r="L144" s="11">
        <f t="shared" si="10"/>
        <v>956480.97000000009</v>
      </c>
      <c r="N144" s="26"/>
    </row>
    <row r="145" spans="1:14" s="1" customFormat="1" ht="12.6" customHeight="1" x14ac:dyDescent="0.25">
      <c r="A145" s="10"/>
      <c r="B145" s="3"/>
      <c r="C145" s="14" t="s">
        <v>22</v>
      </c>
      <c r="D145" s="42"/>
      <c r="E145" s="42"/>
      <c r="F145" s="42"/>
      <c r="G145" s="42"/>
      <c r="H145" s="42"/>
      <c r="I145" s="35"/>
      <c r="J145" s="35"/>
      <c r="K145" s="43">
        <f>152897.47+336825.46+159251.51</f>
        <v>648974.44000000006</v>
      </c>
      <c r="L145" s="21">
        <f t="shared" si="10"/>
        <v>648974.44000000006</v>
      </c>
      <c r="N145" s="26">
        <f>L144-L162</f>
        <v>896480.97000000009</v>
      </c>
    </row>
    <row r="146" spans="1:14" s="1" customFormat="1" ht="12.6" customHeight="1" x14ac:dyDescent="0.25">
      <c r="A146" s="10"/>
      <c r="B146" s="3"/>
      <c r="C146" s="14" t="s">
        <v>21</v>
      </c>
      <c r="D146" s="42"/>
      <c r="E146" s="42"/>
      <c r="F146" s="42"/>
      <c r="G146" s="42"/>
      <c r="H146" s="42"/>
      <c r="I146" s="35"/>
      <c r="J146" s="35"/>
      <c r="K146" s="43">
        <f>34847.05+70986.15+35035.33</f>
        <v>140868.53</v>
      </c>
      <c r="L146" s="21">
        <f t="shared" si="10"/>
        <v>140868.53</v>
      </c>
    </row>
    <row r="147" spans="1:14" s="1" customFormat="1" ht="12.6" customHeight="1" x14ac:dyDescent="0.25">
      <c r="A147" s="10"/>
      <c r="B147" s="3"/>
      <c r="C147" s="14" t="s">
        <v>59</v>
      </c>
      <c r="D147" s="42"/>
      <c r="E147" s="42"/>
      <c r="F147" s="42"/>
      <c r="G147" s="42"/>
      <c r="H147" s="42"/>
      <c r="I147" s="35"/>
      <c r="J147" s="35"/>
      <c r="K147" s="43">
        <v>3300</v>
      </c>
      <c r="L147" s="21">
        <f t="shared" si="10"/>
        <v>3300</v>
      </c>
    </row>
    <row r="148" spans="1:14" s="1" customFormat="1" ht="12.6" customHeight="1" x14ac:dyDescent="0.25">
      <c r="A148" s="10"/>
      <c r="B148" s="3"/>
      <c r="C148" s="49" t="s">
        <v>65</v>
      </c>
      <c r="D148" s="42"/>
      <c r="E148" s="42"/>
      <c r="F148" s="42"/>
      <c r="G148" s="42"/>
      <c r="H148" s="42"/>
      <c r="I148" s="35"/>
      <c r="J148" s="35"/>
      <c r="K148" s="43">
        <f>1950+1200+1850</f>
        <v>5000</v>
      </c>
      <c r="L148" s="21">
        <f t="shared" si="10"/>
        <v>5000</v>
      </c>
    </row>
    <row r="149" spans="1:14" s="1" customFormat="1" ht="12.6" customHeight="1" x14ac:dyDescent="0.25">
      <c r="A149" s="10"/>
      <c r="B149" s="3"/>
      <c r="C149" s="49" t="s">
        <v>137</v>
      </c>
      <c r="D149" s="42"/>
      <c r="E149" s="42"/>
      <c r="F149" s="42"/>
      <c r="G149" s="42"/>
      <c r="H149" s="42"/>
      <c r="I149" s="35"/>
      <c r="J149" s="35"/>
      <c r="K149" s="43">
        <v>11722</v>
      </c>
      <c r="L149" s="21">
        <f t="shared" si="10"/>
        <v>11722</v>
      </c>
    </row>
    <row r="150" spans="1:14" s="1" customFormat="1" ht="12.6" customHeight="1" x14ac:dyDescent="0.25">
      <c r="A150" s="10"/>
      <c r="B150" s="3"/>
      <c r="C150" s="49" t="s">
        <v>136</v>
      </c>
      <c r="D150" s="42"/>
      <c r="E150" s="42"/>
      <c r="F150" s="42"/>
      <c r="G150" s="42"/>
      <c r="H150" s="42"/>
      <c r="I150" s="35"/>
      <c r="J150" s="35"/>
      <c r="K150" s="43">
        <v>15000</v>
      </c>
      <c r="L150" s="21">
        <f t="shared" si="10"/>
        <v>15000</v>
      </c>
    </row>
    <row r="151" spans="1:14" s="1" customFormat="1" ht="12.6" customHeight="1" x14ac:dyDescent="0.25">
      <c r="A151" s="10"/>
      <c r="B151" s="3"/>
      <c r="C151" s="49" t="s">
        <v>68</v>
      </c>
      <c r="D151" s="42"/>
      <c r="E151" s="42"/>
      <c r="F151" s="42"/>
      <c r="G151" s="42"/>
      <c r="H151" s="42"/>
      <c r="I151" s="35"/>
      <c r="J151" s="35"/>
      <c r="K151" s="43">
        <v>1065</v>
      </c>
      <c r="L151" s="21">
        <f t="shared" si="10"/>
        <v>1065</v>
      </c>
    </row>
    <row r="152" spans="1:14" s="1" customFormat="1" ht="12.6" customHeight="1" x14ac:dyDescent="0.25">
      <c r="A152" s="10"/>
      <c r="B152" s="3"/>
      <c r="C152" s="49" t="s">
        <v>96</v>
      </c>
      <c r="D152" s="42"/>
      <c r="E152" s="42"/>
      <c r="F152" s="42"/>
      <c r="G152" s="42"/>
      <c r="H152" s="42"/>
      <c r="I152" s="35"/>
      <c r="J152" s="35"/>
      <c r="K152" s="43">
        <f>3095+380</f>
        <v>3475</v>
      </c>
      <c r="L152" s="21">
        <f t="shared" si="10"/>
        <v>3475</v>
      </c>
    </row>
    <row r="153" spans="1:14" s="1" customFormat="1" ht="12.6" customHeight="1" x14ac:dyDescent="0.25">
      <c r="A153" s="10"/>
      <c r="B153" s="3"/>
      <c r="C153" s="17" t="s">
        <v>18</v>
      </c>
      <c r="D153" s="42"/>
      <c r="E153" s="42"/>
      <c r="F153" s="42"/>
      <c r="G153" s="42"/>
      <c r="H153" s="42"/>
      <c r="I153" s="35"/>
      <c r="J153" s="35"/>
      <c r="K153" s="43">
        <f>5250+8750+7000</f>
        <v>21000</v>
      </c>
      <c r="L153" s="21">
        <f t="shared" si="10"/>
        <v>21000</v>
      </c>
    </row>
    <row r="154" spans="1:14" s="1" customFormat="1" ht="12.6" customHeight="1" x14ac:dyDescent="0.25">
      <c r="A154" s="10"/>
      <c r="B154" s="3"/>
      <c r="C154" s="17" t="s">
        <v>97</v>
      </c>
      <c r="D154" s="42"/>
      <c r="E154" s="42"/>
      <c r="F154" s="42"/>
      <c r="G154" s="42"/>
      <c r="H154" s="42"/>
      <c r="I154" s="35"/>
      <c r="J154" s="35"/>
      <c r="K154" s="43">
        <v>3738</v>
      </c>
      <c r="L154" s="21">
        <f t="shared" si="10"/>
        <v>3738</v>
      </c>
    </row>
    <row r="155" spans="1:14" s="1" customFormat="1" ht="12.6" customHeight="1" x14ac:dyDescent="0.25">
      <c r="A155" s="10"/>
      <c r="B155" s="3"/>
      <c r="C155" s="17" t="s">
        <v>78</v>
      </c>
      <c r="D155" s="42"/>
      <c r="E155" s="42"/>
      <c r="F155" s="42"/>
      <c r="G155" s="42"/>
      <c r="H155" s="42"/>
      <c r="I155" s="35"/>
      <c r="J155" s="35"/>
      <c r="K155" s="43">
        <f>700+2100+1400</f>
        <v>4200</v>
      </c>
      <c r="L155" s="21">
        <f t="shared" si="10"/>
        <v>4200</v>
      </c>
    </row>
    <row r="156" spans="1:14" s="1" customFormat="1" ht="12.6" customHeight="1" x14ac:dyDescent="0.25">
      <c r="A156" s="10"/>
      <c r="B156" s="3"/>
      <c r="C156" s="17" t="s">
        <v>135</v>
      </c>
      <c r="D156" s="42"/>
      <c r="E156" s="42"/>
      <c r="F156" s="42"/>
      <c r="G156" s="42"/>
      <c r="H156" s="42"/>
      <c r="I156" s="35"/>
      <c r="J156" s="35"/>
      <c r="K156" s="43">
        <v>14850</v>
      </c>
      <c r="L156" s="21">
        <f t="shared" si="10"/>
        <v>14850</v>
      </c>
    </row>
    <row r="157" spans="1:14" s="1" customFormat="1" ht="12.6" customHeight="1" x14ac:dyDescent="0.25">
      <c r="A157" s="10"/>
      <c r="B157" s="3"/>
      <c r="C157" s="16" t="s">
        <v>19</v>
      </c>
      <c r="D157" s="42"/>
      <c r="E157" s="42"/>
      <c r="F157" s="42"/>
      <c r="G157" s="42"/>
      <c r="H157" s="42"/>
      <c r="I157" s="35"/>
      <c r="J157" s="35"/>
      <c r="K157" s="43">
        <f>101.97+169.95+136.08</f>
        <v>408</v>
      </c>
      <c r="L157" s="21">
        <f t="shared" si="10"/>
        <v>408</v>
      </c>
    </row>
    <row r="158" spans="1:14" s="1" customFormat="1" ht="12.6" customHeight="1" x14ac:dyDescent="0.25">
      <c r="A158" s="10"/>
      <c r="B158" s="3"/>
      <c r="C158" s="16" t="s">
        <v>20</v>
      </c>
      <c r="D158" s="42"/>
      <c r="E158" s="42"/>
      <c r="F158" s="42"/>
      <c r="G158" s="42"/>
      <c r="H158" s="42"/>
      <c r="I158" s="35"/>
      <c r="J158" s="35"/>
      <c r="K158" s="43">
        <f>1200+11625+8475</f>
        <v>21300</v>
      </c>
      <c r="L158" s="21">
        <f t="shared" si="10"/>
        <v>21300</v>
      </c>
    </row>
    <row r="159" spans="1:14" s="1" customFormat="1" ht="12.6" customHeight="1" x14ac:dyDescent="0.25">
      <c r="A159" s="10"/>
      <c r="B159" s="3"/>
      <c r="C159" s="16" t="s">
        <v>53</v>
      </c>
      <c r="D159" s="42"/>
      <c r="E159" s="42"/>
      <c r="F159" s="42"/>
      <c r="G159" s="42"/>
      <c r="H159" s="42"/>
      <c r="I159" s="35"/>
      <c r="J159" s="35"/>
      <c r="K159" s="43">
        <f>270.03+450.05+359.92</f>
        <v>1080</v>
      </c>
      <c r="L159" s="21">
        <f t="shared" si="10"/>
        <v>1080</v>
      </c>
    </row>
    <row r="160" spans="1:14" s="1" customFormat="1" ht="12.6" customHeight="1" x14ac:dyDescent="0.25">
      <c r="A160" s="10"/>
      <c r="B160" s="3"/>
      <c r="C160" s="16" t="s">
        <v>69</v>
      </c>
      <c r="D160" s="42"/>
      <c r="E160" s="42"/>
      <c r="F160" s="42"/>
      <c r="G160" s="42"/>
      <c r="H160" s="42"/>
      <c r="I160" s="35"/>
      <c r="J160" s="35"/>
      <c r="K160" s="43">
        <v>500</v>
      </c>
      <c r="L160" s="21">
        <f t="shared" si="10"/>
        <v>500</v>
      </c>
    </row>
    <row r="161" spans="1:14" s="1" customFormat="1" ht="12.6" customHeight="1" x14ac:dyDescent="0.25">
      <c r="A161" s="10"/>
      <c r="B161" s="3"/>
      <c r="C161" s="3" t="s">
        <v>42</v>
      </c>
      <c r="D161" s="42"/>
      <c r="E161" s="42"/>
      <c r="F161" s="42"/>
      <c r="G161" s="42"/>
      <c r="H161" s="42"/>
      <c r="I161" s="35"/>
      <c r="J161" s="35"/>
      <c r="K161" s="43"/>
      <c r="L161" s="21"/>
    </row>
    <row r="162" spans="1:14" s="1" customFormat="1" ht="12.6" customHeight="1" x14ac:dyDescent="0.25">
      <c r="A162" s="10"/>
      <c r="B162" s="3"/>
      <c r="C162" s="16" t="s">
        <v>129</v>
      </c>
      <c r="D162" s="42"/>
      <c r="E162" s="42"/>
      <c r="F162" s="42"/>
      <c r="G162" s="42"/>
      <c r="H162" s="42"/>
      <c r="I162" s="35"/>
      <c r="J162" s="35"/>
      <c r="K162" s="43">
        <v>60000</v>
      </c>
      <c r="L162" s="21">
        <f>SUM(D162:K162)</f>
        <v>60000</v>
      </c>
    </row>
    <row r="163" spans="1:14" s="2" customFormat="1" ht="13.5" customHeight="1" x14ac:dyDescent="0.25">
      <c r="A163" s="10" t="s">
        <v>38</v>
      </c>
      <c r="B163" s="3">
        <v>613033</v>
      </c>
      <c r="C163" s="4" t="s">
        <v>11</v>
      </c>
      <c r="D163" s="40">
        <f>D164</f>
        <v>9074</v>
      </c>
      <c r="E163" s="40">
        <f t="shared" ref="E163:K163" si="16">E164</f>
        <v>0</v>
      </c>
      <c r="F163" s="40">
        <f t="shared" si="16"/>
        <v>35984</v>
      </c>
      <c r="G163" s="40">
        <f t="shared" si="16"/>
        <v>33533.4</v>
      </c>
      <c r="H163" s="40">
        <f t="shared" si="16"/>
        <v>8218</v>
      </c>
      <c r="I163" s="40">
        <f t="shared" si="16"/>
        <v>0</v>
      </c>
      <c r="J163" s="40">
        <f t="shared" si="16"/>
        <v>1235.5</v>
      </c>
      <c r="K163" s="40">
        <f t="shared" si="16"/>
        <v>0</v>
      </c>
      <c r="L163" s="11">
        <f>SUM(D163:K163)</f>
        <v>88044.9</v>
      </c>
      <c r="M163" s="1"/>
      <c r="N163" s="1"/>
    </row>
    <row r="164" spans="1:14" s="1" customFormat="1" ht="13.7" customHeight="1" x14ac:dyDescent="0.25">
      <c r="A164" s="10"/>
      <c r="B164" s="3"/>
      <c r="C164" s="15" t="s">
        <v>41</v>
      </c>
      <c r="D164" s="35">
        <f>2000+6310+764</f>
        <v>9074</v>
      </c>
      <c r="E164" s="35"/>
      <c r="F164" s="35">
        <f>5341.6+24425.6+6216.8</f>
        <v>35984</v>
      </c>
      <c r="G164" s="35">
        <f>7728.6+21854.4+3950.4</f>
        <v>33533.4</v>
      </c>
      <c r="H164" s="35">
        <f>1144+6310+764</f>
        <v>8218</v>
      </c>
      <c r="I164" s="35"/>
      <c r="J164" s="35">
        <f>1102.5+133</f>
        <v>1235.5</v>
      </c>
      <c r="K164" s="43"/>
      <c r="L164" s="21">
        <f>SUM(D164:K164)</f>
        <v>88044.9</v>
      </c>
    </row>
    <row r="165" spans="1:14" s="1" customFormat="1" ht="59.25" customHeight="1" x14ac:dyDescent="0.25">
      <c r="A165" s="10" t="s">
        <v>95</v>
      </c>
      <c r="B165" s="3">
        <v>613140</v>
      </c>
      <c r="C165" s="50" t="s">
        <v>92</v>
      </c>
      <c r="D165" s="40">
        <f>D166+D168</f>
        <v>20116.580000000002</v>
      </c>
      <c r="E165" s="40">
        <f t="shared" ref="E165:K165" si="17">E166+E168</f>
        <v>0</v>
      </c>
      <c r="F165" s="40">
        <f t="shared" si="17"/>
        <v>11664.02</v>
      </c>
      <c r="G165" s="40">
        <f t="shared" si="17"/>
        <v>0</v>
      </c>
      <c r="H165" s="40">
        <f t="shared" si="17"/>
        <v>12600.17</v>
      </c>
      <c r="I165" s="40">
        <f t="shared" si="17"/>
        <v>0</v>
      </c>
      <c r="J165" s="40">
        <f t="shared" si="17"/>
        <v>0</v>
      </c>
      <c r="K165" s="40">
        <f t="shared" si="17"/>
        <v>0</v>
      </c>
      <c r="L165" s="11">
        <f>SUM(D165:K165)</f>
        <v>44380.770000000004</v>
      </c>
    </row>
    <row r="166" spans="1:14" s="1" customFormat="1" ht="13.7" customHeight="1" x14ac:dyDescent="0.25">
      <c r="A166" s="10"/>
      <c r="B166" s="3"/>
      <c r="C166" s="15" t="s">
        <v>28</v>
      </c>
      <c r="D166" s="35">
        <v>20116.580000000002</v>
      </c>
      <c r="E166" s="35"/>
      <c r="F166" s="35">
        <v>11664.02</v>
      </c>
      <c r="G166" s="35"/>
      <c r="H166" s="35">
        <v>12600.17</v>
      </c>
      <c r="I166" s="35"/>
      <c r="J166" s="35"/>
      <c r="K166" s="43"/>
      <c r="L166" s="21">
        <f>SUM(D166:K166)</f>
        <v>44380.770000000004</v>
      </c>
    </row>
    <row r="167" spans="1:14" s="1" customFormat="1" ht="13.7" customHeight="1" x14ac:dyDescent="0.25">
      <c r="A167" s="10"/>
      <c r="B167" s="3"/>
      <c r="C167" s="51" t="s">
        <v>32</v>
      </c>
      <c r="D167" s="35"/>
      <c r="E167" s="35"/>
      <c r="F167" s="35"/>
      <c r="G167" s="35"/>
      <c r="H167" s="35"/>
      <c r="I167" s="35"/>
      <c r="J167" s="35"/>
      <c r="K167" s="43"/>
      <c r="L167" s="11"/>
    </row>
    <row r="168" spans="1:14" s="1" customFormat="1" ht="13.7" customHeight="1" x14ac:dyDescent="0.25">
      <c r="A168" s="10"/>
      <c r="B168" s="3"/>
      <c r="C168" s="15" t="s">
        <v>28</v>
      </c>
      <c r="D168" s="35"/>
      <c r="E168" s="35"/>
      <c r="F168" s="35"/>
      <c r="G168" s="35"/>
      <c r="H168" s="35"/>
      <c r="I168" s="35"/>
      <c r="J168" s="35"/>
      <c r="K168" s="43"/>
      <c r="L168" s="21">
        <f>SUM(D168:K168)</f>
        <v>0</v>
      </c>
    </row>
    <row r="169" spans="1:14" s="1" customFormat="1" ht="18" customHeight="1" x14ac:dyDescent="0.25">
      <c r="A169" s="10" t="s">
        <v>66</v>
      </c>
      <c r="B169" s="3">
        <v>615061</v>
      </c>
      <c r="C169" s="4" t="s">
        <v>12</v>
      </c>
      <c r="D169" s="40">
        <f>SUM(D170:D173)</f>
        <v>50000</v>
      </c>
      <c r="E169" s="40">
        <f t="shared" ref="E169:K169" si="18">SUM(E170:E173)</f>
        <v>0</v>
      </c>
      <c r="F169" s="40">
        <f t="shared" si="18"/>
        <v>237280</v>
      </c>
      <c r="G169" s="40">
        <f t="shared" si="18"/>
        <v>101800</v>
      </c>
      <c r="H169" s="40">
        <f t="shared" si="18"/>
        <v>50900</v>
      </c>
      <c r="I169" s="40">
        <f t="shared" si="18"/>
        <v>0</v>
      </c>
      <c r="J169" s="40">
        <f t="shared" si="18"/>
        <v>0</v>
      </c>
      <c r="K169" s="40">
        <f t="shared" si="18"/>
        <v>40020</v>
      </c>
      <c r="L169" s="31">
        <f>D169+E169+G169+K169+F169+H169+I169</f>
        <v>480000</v>
      </c>
    </row>
    <row r="170" spans="1:14" s="1" customFormat="1" ht="18" customHeight="1" x14ac:dyDescent="0.25">
      <c r="A170" s="10"/>
      <c r="B170" s="3"/>
      <c r="C170" s="17" t="s">
        <v>81</v>
      </c>
      <c r="D170" s="40"/>
      <c r="E170" s="40"/>
      <c r="F170" s="40"/>
      <c r="G170" s="40"/>
      <c r="H170" s="40"/>
      <c r="I170" s="40"/>
      <c r="J170" s="40"/>
      <c r="K170" s="35">
        <v>10000</v>
      </c>
      <c r="L170" s="32">
        <f t="shared" ref="L170:L173" si="19">D170+E170+G170+K170+F170+H170+I170</f>
        <v>10000</v>
      </c>
    </row>
    <row r="171" spans="1:14" s="1" customFormat="1" ht="18" customHeight="1" x14ac:dyDescent="0.25">
      <c r="A171" s="10"/>
      <c r="B171" s="3"/>
      <c r="C171" s="17" t="s">
        <v>79</v>
      </c>
      <c r="D171" s="40"/>
      <c r="E171" s="40"/>
      <c r="F171" s="40"/>
      <c r="G171" s="40"/>
      <c r="H171" s="40"/>
      <c r="I171" s="40"/>
      <c r="J171" s="40"/>
      <c r="K171" s="35">
        <v>10000</v>
      </c>
      <c r="L171" s="32">
        <f t="shared" si="19"/>
        <v>10000</v>
      </c>
    </row>
    <row r="172" spans="1:14" s="1" customFormat="1" ht="18" customHeight="1" x14ac:dyDescent="0.25">
      <c r="A172" s="10"/>
      <c r="B172" s="3"/>
      <c r="C172" s="17" t="s">
        <v>80</v>
      </c>
      <c r="D172" s="40"/>
      <c r="E172" s="40"/>
      <c r="F172" s="40"/>
      <c r="G172" s="40"/>
      <c r="H172" s="40"/>
      <c r="I172" s="40"/>
      <c r="J172" s="40"/>
      <c r="K172" s="35">
        <v>20020</v>
      </c>
      <c r="L172" s="32">
        <f t="shared" si="19"/>
        <v>20020</v>
      </c>
    </row>
    <row r="173" spans="1:14" s="1" customFormat="1" ht="15" customHeight="1" x14ac:dyDescent="0.25">
      <c r="A173" s="10"/>
      <c r="B173" s="3"/>
      <c r="C173" s="17" t="s">
        <v>73</v>
      </c>
      <c r="D173" s="35">
        <f>50000</f>
        <v>50000</v>
      </c>
      <c r="E173" s="35"/>
      <c r="F173" s="35">
        <f>151380+60000+25900</f>
        <v>237280</v>
      </c>
      <c r="G173" s="35">
        <f>25900+25900+50000</f>
        <v>101800</v>
      </c>
      <c r="H173" s="35">
        <f>25900+25000</f>
        <v>50900</v>
      </c>
      <c r="I173" s="40"/>
      <c r="J173" s="40"/>
      <c r="K173" s="35"/>
      <c r="L173" s="32">
        <f t="shared" si="19"/>
        <v>439980</v>
      </c>
      <c r="N173" s="26"/>
    </row>
    <row r="174" spans="1:14" s="1" customFormat="1" ht="29.25" x14ac:dyDescent="0.25">
      <c r="A174" s="10" t="s">
        <v>67</v>
      </c>
      <c r="B174" s="3">
        <v>611141</v>
      </c>
      <c r="C174" s="24" t="s">
        <v>39</v>
      </c>
      <c r="D174" s="40">
        <f t="shared" ref="D174:J174" si="20">SUM(D175:D180)</f>
        <v>0</v>
      </c>
      <c r="E174" s="40">
        <f t="shared" si="20"/>
        <v>0</v>
      </c>
      <c r="F174" s="40">
        <f t="shared" si="20"/>
        <v>0</v>
      </c>
      <c r="G174" s="40">
        <f t="shared" si="20"/>
        <v>0</v>
      </c>
      <c r="H174" s="40">
        <f t="shared" si="20"/>
        <v>0</v>
      </c>
      <c r="I174" s="40">
        <f t="shared" si="20"/>
        <v>0</v>
      </c>
      <c r="J174" s="40">
        <f t="shared" si="20"/>
        <v>0</v>
      </c>
      <c r="K174" s="40">
        <f>SUM(K175:K181)</f>
        <v>1432893.06</v>
      </c>
      <c r="L174" s="11">
        <f t="shared" ref="L174:L191" si="21">SUM(D174:K174)</f>
        <v>1432893.06</v>
      </c>
    </row>
    <row r="175" spans="1:14" s="1" customFormat="1" ht="30" customHeight="1" x14ac:dyDescent="0.25">
      <c r="A175" s="10"/>
      <c r="B175" s="3"/>
      <c r="C175" s="14" t="s">
        <v>22</v>
      </c>
      <c r="D175" s="35"/>
      <c r="E175" s="35"/>
      <c r="F175" s="35"/>
      <c r="G175" s="35"/>
      <c r="H175" s="35"/>
      <c r="I175" s="35"/>
      <c r="J175" s="35"/>
      <c r="K175" s="47">
        <v>1065076.27</v>
      </c>
      <c r="L175" s="21">
        <f t="shared" si="21"/>
        <v>1065076.27</v>
      </c>
      <c r="N175" s="29"/>
    </row>
    <row r="176" spans="1:14" s="1" customFormat="1" ht="16.5" customHeight="1" x14ac:dyDescent="0.25">
      <c r="A176" s="10"/>
      <c r="B176" s="3"/>
      <c r="C176" s="14" t="s">
        <v>21</v>
      </c>
      <c r="D176" s="35"/>
      <c r="E176" s="35"/>
      <c r="F176" s="35"/>
      <c r="G176" s="35"/>
      <c r="H176" s="35"/>
      <c r="I176" s="35"/>
      <c r="J176" s="35"/>
      <c r="K176" s="47">
        <f>64365.25+99585.65+70365.89</f>
        <v>234316.78999999998</v>
      </c>
      <c r="L176" s="21">
        <f t="shared" si="21"/>
        <v>234316.78999999998</v>
      </c>
    </row>
    <row r="177" spans="1:12" s="1" customFormat="1" ht="16.5" customHeight="1" x14ac:dyDescent="0.25">
      <c r="A177" s="10"/>
      <c r="B177" s="3"/>
      <c r="C177" s="14" t="s">
        <v>65</v>
      </c>
      <c r="D177" s="35"/>
      <c r="E177" s="35"/>
      <c r="F177" s="35"/>
      <c r="G177" s="35"/>
      <c r="H177" s="35"/>
      <c r="I177" s="35"/>
      <c r="J177" s="35"/>
      <c r="K177" s="47">
        <v>10000</v>
      </c>
      <c r="L177" s="21">
        <f t="shared" si="21"/>
        <v>10000</v>
      </c>
    </row>
    <row r="178" spans="1:12" s="1" customFormat="1" ht="16.5" customHeight="1" x14ac:dyDescent="0.25">
      <c r="A178" s="10"/>
      <c r="B178" s="3"/>
      <c r="C178" s="14" t="s">
        <v>89</v>
      </c>
      <c r="D178" s="35"/>
      <c r="E178" s="35"/>
      <c r="F178" s="35"/>
      <c r="G178" s="35"/>
      <c r="H178" s="35"/>
      <c r="I178" s="35"/>
      <c r="J178" s="35"/>
      <c r="K178" s="47">
        <v>9880</v>
      </c>
      <c r="L178" s="21">
        <f t="shared" si="21"/>
        <v>9880</v>
      </c>
    </row>
    <row r="179" spans="1:12" s="1" customFormat="1" ht="31.5" x14ac:dyDescent="0.25">
      <c r="A179" s="10"/>
      <c r="B179" s="3"/>
      <c r="C179" s="19" t="s">
        <v>40</v>
      </c>
      <c r="D179" s="35"/>
      <c r="E179" s="35"/>
      <c r="F179" s="35"/>
      <c r="G179" s="35"/>
      <c r="H179" s="35"/>
      <c r="I179" s="35"/>
      <c r="J179" s="35"/>
      <c r="K179" s="43">
        <f>8400+2900+10680+5600+3760</f>
        <v>31340</v>
      </c>
      <c r="L179" s="21">
        <f t="shared" si="21"/>
        <v>31340</v>
      </c>
    </row>
    <row r="180" spans="1:12" s="1" customFormat="1" ht="15.75" x14ac:dyDescent="0.25">
      <c r="A180" s="10"/>
      <c r="B180" s="3"/>
      <c r="C180" s="19" t="s">
        <v>77</v>
      </c>
      <c r="D180" s="35"/>
      <c r="E180" s="35"/>
      <c r="F180" s="35"/>
      <c r="G180" s="35"/>
      <c r="H180" s="35"/>
      <c r="I180" s="35"/>
      <c r="J180" s="35"/>
      <c r="K180" s="43">
        <f>11700+2700+7880</f>
        <v>22280</v>
      </c>
      <c r="L180" s="21">
        <f t="shared" si="21"/>
        <v>22280</v>
      </c>
    </row>
    <row r="181" spans="1:12" s="1" customFormat="1" ht="31.5" x14ac:dyDescent="0.25">
      <c r="A181" s="10"/>
      <c r="B181" s="3"/>
      <c r="C181" s="19" t="s">
        <v>43</v>
      </c>
      <c r="D181" s="35"/>
      <c r="E181" s="35"/>
      <c r="F181" s="35"/>
      <c r="G181" s="35"/>
      <c r="H181" s="35"/>
      <c r="I181" s="35"/>
      <c r="J181" s="35"/>
      <c r="K181" s="43">
        <f>15000+15000+30000</f>
        <v>60000</v>
      </c>
      <c r="L181" s="21">
        <f t="shared" si="21"/>
        <v>60000</v>
      </c>
    </row>
    <row r="182" spans="1:12" s="1" customFormat="1" ht="15.75" x14ac:dyDescent="0.25">
      <c r="A182" s="10" t="s">
        <v>67</v>
      </c>
      <c r="B182" s="3">
        <v>611142</v>
      </c>
      <c r="C182" s="53" t="s">
        <v>110</v>
      </c>
      <c r="D182" s="40">
        <f>D183</f>
        <v>0</v>
      </c>
      <c r="E182" s="40">
        <f t="shared" ref="E182:K182" si="22">E183</f>
        <v>0</v>
      </c>
      <c r="F182" s="40">
        <f t="shared" si="22"/>
        <v>6000</v>
      </c>
      <c r="G182" s="40">
        <f t="shared" si="22"/>
        <v>0</v>
      </c>
      <c r="H182" s="40">
        <f t="shared" si="22"/>
        <v>0</v>
      </c>
      <c r="I182" s="40">
        <f t="shared" si="22"/>
        <v>0</v>
      </c>
      <c r="J182" s="40">
        <f t="shared" si="22"/>
        <v>2800</v>
      </c>
      <c r="K182" s="40">
        <f t="shared" si="22"/>
        <v>0</v>
      </c>
      <c r="L182" s="11">
        <f t="shared" si="21"/>
        <v>8800</v>
      </c>
    </row>
    <row r="183" spans="1:12" s="1" customFormat="1" ht="15.75" x14ac:dyDescent="0.25">
      <c r="A183" s="10"/>
      <c r="B183" s="3"/>
      <c r="C183" s="19" t="s">
        <v>111</v>
      </c>
      <c r="D183" s="35"/>
      <c r="E183" s="35"/>
      <c r="F183" s="35">
        <f>4500+1500</f>
        <v>6000</v>
      </c>
      <c r="G183" s="35"/>
      <c r="H183" s="35"/>
      <c r="I183" s="35"/>
      <c r="J183" s="35">
        <f>2100+700</f>
        <v>2800</v>
      </c>
      <c r="K183" s="43"/>
      <c r="L183" s="21">
        <f t="shared" si="21"/>
        <v>8800</v>
      </c>
    </row>
    <row r="184" spans="1:12" s="1" customFormat="1" ht="31.5" x14ac:dyDescent="0.25">
      <c r="A184" s="10" t="s">
        <v>72</v>
      </c>
      <c r="B184" s="3">
        <v>613242</v>
      </c>
      <c r="C184" s="25" t="s">
        <v>47</v>
      </c>
      <c r="D184" s="40">
        <f>D185</f>
        <v>1810</v>
      </c>
      <c r="E184" s="40">
        <f t="shared" ref="E184:K184" si="23">E185</f>
        <v>0</v>
      </c>
      <c r="F184" s="40">
        <f t="shared" si="23"/>
        <v>0</v>
      </c>
      <c r="G184" s="40">
        <f t="shared" si="23"/>
        <v>1810</v>
      </c>
      <c r="H184" s="40">
        <f t="shared" si="23"/>
        <v>0</v>
      </c>
      <c r="I184" s="40">
        <f t="shared" si="23"/>
        <v>0</v>
      </c>
      <c r="J184" s="40">
        <f t="shared" si="23"/>
        <v>3620</v>
      </c>
      <c r="K184" s="40">
        <f t="shared" si="23"/>
        <v>0</v>
      </c>
      <c r="L184" s="11">
        <f t="shared" si="21"/>
        <v>7240</v>
      </c>
    </row>
    <row r="185" spans="1:12" s="1" customFormat="1" ht="15.75" x14ac:dyDescent="0.25">
      <c r="A185" s="10"/>
      <c r="B185" s="3"/>
      <c r="C185" s="19" t="s">
        <v>48</v>
      </c>
      <c r="D185" s="35">
        <v>1810</v>
      </c>
      <c r="E185" s="35"/>
      <c r="F185" s="35"/>
      <c r="G185" s="35">
        <v>1810</v>
      </c>
      <c r="H185" s="35"/>
      <c r="I185" s="35"/>
      <c r="J185" s="35">
        <f>1810+1810</f>
        <v>3620</v>
      </c>
      <c r="K185" s="43"/>
      <c r="L185" s="21">
        <f t="shared" si="21"/>
        <v>7240</v>
      </c>
    </row>
    <row r="186" spans="1:12" s="1" customFormat="1" ht="110.25" x14ac:dyDescent="0.25">
      <c r="A186" s="10" t="s">
        <v>112</v>
      </c>
      <c r="B186" s="3">
        <v>611291</v>
      </c>
      <c r="C186" s="55" t="s">
        <v>130</v>
      </c>
      <c r="D186" s="40">
        <f>D187</f>
        <v>49166</v>
      </c>
      <c r="E186" s="40">
        <f t="shared" ref="E186:K186" si="24">E187</f>
        <v>0</v>
      </c>
      <c r="F186" s="40">
        <f t="shared" si="24"/>
        <v>49166</v>
      </c>
      <c r="G186" s="40">
        <f t="shared" si="24"/>
        <v>49166</v>
      </c>
      <c r="H186" s="40">
        <f t="shared" si="24"/>
        <v>49166</v>
      </c>
      <c r="I186" s="40">
        <f t="shared" si="24"/>
        <v>0</v>
      </c>
      <c r="J186" s="40">
        <f t="shared" si="24"/>
        <v>0</v>
      </c>
      <c r="K186" s="40">
        <f t="shared" si="24"/>
        <v>0</v>
      </c>
      <c r="L186" s="11">
        <f t="shared" si="21"/>
        <v>196664</v>
      </c>
    </row>
    <row r="187" spans="1:12" s="1" customFormat="1" ht="15.75" x14ac:dyDescent="0.25">
      <c r="A187" s="10"/>
      <c r="B187" s="3"/>
      <c r="C187" s="19" t="s">
        <v>131</v>
      </c>
      <c r="D187" s="35">
        <v>49166</v>
      </c>
      <c r="E187" s="35"/>
      <c r="F187" s="35">
        <v>49166</v>
      </c>
      <c r="G187" s="35">
        <v>49166</v>
      </c>
      <c r="H187" s="35">
        <v>49166</v>
      </c>
      <c r="I187" s="35"/>
      <c r="J187" s="35"/>
      <c r="K187" s="43"/>
      <c r="L187" s="21">
        <f t="shared" si="21"/>
        <v>196664</v>
      </c>
    </row>
    <row r="188" spans="1:12" s="1" customFormat="1" ht="94.5" x14ac:dyDescent="0.25">
      <c r="A188" s="10" t="s">
        <v>132</v>
      </c>
      <c r="B188" s="3">
        <v>611292</v>
      </c>
      <c r="C188" s="55" t="s">
        <v>133</v>
      </c>
      <c r="D188" s="40">
        <f>D189</f>
        <v>68834</v>
      </c>
      <c r="E188" s="40">
        <f t="shared" ref="E188:K188" si="25">E189</f>
        <v>0</v>
      </c>
      <c r="F188" s="40">
        <f t="shared" si="25"/>
        <v>68834</v>
      </c>
      <c r="G188" s="40">
        <f t="shared" si="25"/>
        <v>68834</v>
      </c>
      <c r="H188" s="40">
        <f t="shared" si="25"/>
        <v>68834</v>
      </c>
      <c r="I188" s="40">
        <f t="shared" si="25"/>
        <v>0</v>
      </c>
      <c r="J188" s="40">
        <f t="shared" si="25"/>
        <v>0</v>
      </c>
      <c r="K188" s="40">
        <f t="shared" si="25"/>
        <v>0</v>
      </c>
      <c r="L188" s="11">
        <f t="shared" si="21"/>
        <v>275336</v>
      </c>
    </row>
    <row r="189" spans="1:12" s="1" customFormat="1" ht="15.75" x14ac:dyDescent="0.25">
      <c r="A189" s="10"/>
      <c r="B189" s="3"/>
      <c r="C189" s="19" t="s">
        <v>131</v>
      </c>
      <c r="D189" s="35">
        <v>68834</v>
      </c>
      <c r="E189" s="35"/>
      <c r="F189" s="35">
        <v>68834</v>
      </c>
      <c r="G189" s="35">
        <v>68834</v>
      </c>
      <c r="H189" s="35">
        <v>68834</v>
      </c>
      <c r="I189" s="35"/>
      <c r="J189" s="35"/>
      <c r="K189" s="43"/>
      <c r="L189" s="21">
        <f t="shared" si="21"/>
        <v>275336</v>
      </c>
    </row>
    <row r="190" spans="1:12" s="1" customFormat="1" ht="15.75" x14ac:dyDescent="0.25">
      <c r="A190" s="10" t="s">
        <v>134</v>
      </c>
      <c r="B190" s="3">
        <v>617321</v>
      </c>
      <c r="C190" s="25" t="s">
        <v>64</v>
      </c>
      <c r="D190" s="40">
        <f>SUM(D191:D191)</f>
        <v>114910.07</v>
      </c>
      <c r="E190" s="40">
        <f t="shared" ref="E190:K190" si="26">E191</f>
        <v>0</v>
      </c>
      <c r="F190" s="40">
        <f t="shared" si="26"/>
        <v>0</v>
      </c>
      <c r="G190" s="40">
        <f t="shared" si="26"/>
        <v>0</v>
      </c>
      <c r="H190" s="40">
        <f t="shared" si="26"/>
        <v>0</v>
      </c>
      <c r="I190" s="40">
        <f t="shared" si="26"/>
        <v>0</v>
      </c>
      <c r="J190" s="40">
        <f t="shared" si="26"/>
        <v>0</v>
      </c>
      <c r="K190" s="40">
        <f t="shared" si="26"/>
        <v>0</v>
      </c>
      <c r="L190" s="11">
        <f t="shared" si="21"/>
        <v>114910.07</v>
      </c>
    </row>
    <row r="191" spans="1:12" s="1" customFormat="1" ht="15.75" x14ac:dyDescent="0.25">
      <c r="A191" s="10"/>
      <c r="B191" s="3"/>
      <c r="C191" s="15" t="s">
        <v>107</v>
      </c>
      <c r="D191" s="35">
        <v>114910.07</v>
      </c>
      <c r="E191" s="35"/>
      <c r="F191" s="35"/>
      <c r="G191" s="35"/>
      <c r="H191" s="35"/>
      <c r="I191" s="35"/>
      <c r="J191" s="35"/>
      <c r="K191" s="43"/>
      <c r="L191" s="21">
        <f t="shared" si="21"/>
        <v>114910.07</v>
      </c>
    </row>
    <row r="193" spans="3:6" x14ac:dyDescent="0.25">
      <c r="C193" t="s">
        <v>167</v>
      </c>
      <c r="F193" t="s">
        <v>168</v>
      </c>
    </row>
    <row r="195" spans="3:6" x14ac:dyDescent="0.25">
      <c r="C195" t="s">
        <v>169</v>
      </c>
      <c r="F195" t="s">
        <v>170</v>
      </c>
    </row>
  </sheetData>
  <mergeCells count="10">
    <mergeCell ref="L4:L5"/>
    <mergeCell ref="A2:K2"/>
    <mergeCell ref="A3:K3"/>
    <mergeCell ref="A6:C6"/>
    <mergeCell ref="C4:C5"/>
    <mergeCell ref="B4:B5"/>
    <mergeCell ref="A4:A5"/>
    <mergeCell ref="E4:F4"/>
    <mergeCell ref="K4:K5"/>
    <mergeCell ref="H4:I4"/>
  </mergeCells>
  <printOptions horizontalCentered="1"/>
  <pageMargins left="0" right="0" top="0" bottom="0" header="0.31496062992125984" footer="0.31496062992125984"/>
  <pageSetup paperSize="9" scale="5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Видатки</vt:lpstr>
      <vt:lpstr>Видатки!Заголовки_для_печати</vt:lpstr>
      <vt:lpstr>Видатки!Область_печати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2025-01-09T14:31:43Z</dcterms:modified>
</cp:coreProperties>
</file>